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filterPrivacy="1" defaultThemeVersion="124226"/>
  <xr:revisionPtr revIDLastSave="0" documentId="8_{D339FFD0-4D70-4B59-941A-227B5B89C753}" xr6:coauthVersionLast="44" xr6:coauthVersionMax="44" xr10:uidLastSave="{00000000-0000-0000-0000-000000000000}"/>
  <bookViews>
    <workbookView xWindow="28680" yWindow="-120" windowWidth="29040" windowHeight="15840" activeTab="2" xr2:uid="{B67883E7-484D-4E02-99F2-792C17EA9889}"/>
  </bookViews>
  <sheets>
    <sheet name="Summary Info" sheetId="40" r:id="rId1"/>
    <sheet name="Study Period kWh" sheetId="39" r:id="rId2"/>
    <sheet name="Customer Size" sheetId="41" r:id="rId3"/>
    <sheet name="kWh Summary All RSs" sheetId="31" r:id="rId4"/>
  </sheets>
  <externalReferences>
    <externalReference r:id="rId5"/>
  </externalReferences>
  <definedNames>
    <definedName name="EI_Class_Load_Factor">'[1]EI Loads'!#REF!</definedName>
    <definedName name="EI_Historical_Monthly">'[1]Monthly EI Hourly Parameters'!$E$9:$U$44</definedName>
    <definedName name="EI_Load_Factor">'Customer Size'!$AO$4</definedName>
    <definedName name="End_Date">'Study Period kWh'!$I$4</definedName>
    <definedName name="Expected_2020_17a_LF">'Summary Info'!$X$6</definedName>
    <definedName name="Expected_2020_17b_LF">'Summary Info'!$X$9</definedName>
    <definedName name="Incremental_Transmission_Capacity">'[1]EI Loads'!#REF!</definedName>
    <definedName name="KWH_Actual_Monthly">'kWh Summary All RSs'!$N$7:$AW$40</definedName>
    <definedName name="KWh_Month">'kWh Summary All RSs'!$N$6:$AW$6</definedName>
    <definedName name="Max_Annual_Incremental_Transmission_aMW">'[1]EI Loads'!#REF!</definedName>
    <definedName name="Month_Names">"""Jan"",""Feb"""</definedName>
    <definedName name="Non_EI_System_Load_Factor">#REF!</definedName>
    <definedName name="Original_RS">'Study Period kWh'!$G$12:$G$45</definedName>
    <definedName name="Rate1_Actuals">'Study Period kWh'!$L$49:$AU$49</definedName>
    <definedName name="Start_Date">'Study Period kWh'!$I$3</definedName>
    <definedName name="Transmission_Limit_2017">'[1]EI Loads'!#REF!</definedName>
    <definedName name="US_Industrial_2030to2050_Growth">'[1]EI Loads'!$E$5</definedName>
    <definedName name="US_LT_Growth_2030to2050">'[1]EI Loads'!$E$6</definedName>
    <definedName name="Year_Month">'[1]Monthly EI Hourly Parameters'!$D$9:$D$44</definedName>
  </definedNames>
  <calcPr calcId="191029" iterateDelta="1.0000000000000001E-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O4" i="41" l="1"/>
  <c r="X9" i="40" l="1"/>
  <c r="L2" i="40" l="1"/>
  <c r="K55" i="31" l="1"/>
  <c r="K67" i="31" s="1"/>
  <c r="J55" i="31"/>
  <c r="J67" i="31" s="1"/>
  <c r="K54" i="31"/>
  <c r="J54" i="31"/>
  <c r="J66" i="31" s="1"/>
  <c r="K53" i="31"/>
  <c r="K65" i="31" s="1"/>
  <c r="J53" i="31"/>
  <c r="J65" i="31" s="1"/>
  <c r="K66" i="31"/>
  <c r="AW61" i="31"/>
  <c r="AW64" i="31" s="1"/>
  <c r="AV61" i="31"/>
  <c r="AV62" i="31" s="1"/>
  <c r="AU61" i="31"/>
  <c r="AU63" i="31" s="1"/>
  <c r="AT61" i="31"/>
  <c r="AT64" i="31" s="1"/>
  <c r="AS61" i="31"/>
  <c r="AS64" i="31" s="1"/>
  <c r="AR61" i="31"/>
  <c r="AR62" i="31" s="1"/>
  <c r="AQ61" i="31"/>
  <c r="AQ63" i="31" s="1"/>
  <c r="AP61" i="31"/>
  <c r="AP64" i="31" s="1"/>
  <c r="AO61" i="31"/>
  <c r="AO64" i="31" s="1"/>
  <c r="AN61" i="31"/>
  <c r="AN65" i="31" s="1"/>
  <c r="AM61" i="31"/>
  <c r="AM66" i="31" s="1"/>
  <c r="AL61" i="31"/>
  <c r="AL67" i="31" s="1"/>
  <c r="AK61" i="31"/>
  <c r="AK67" i="31" s="1"/>
  <c r="AJ61" i="31"/>
  <c r="AJ65" i="31" s="1"/>
  <c r="AI61" i="31"/>
  <c r="AI66" i="31" s="1"/>
  <c r="AH61" i="31"/>
  <c r="AH67" i="31" s="1"/>
  <c r="AG61" i="31"/>
  <c r="AG67" i="31" s="1"/>
  <c r="AF61" i="31"/>
  <c r="AF65" i="31" s="1"/>
  <c r="AE61" i="31"/>
  <c r="AE66" i="31" s="1"/>
  <c r="AD61" i="31"/>
  <c r="AD67" i="31" s="1"/>
  <c r="AC61" i="31"/>
  <c r="AC67" i="31" s="1"/>
  <c r="AB61" i="31"/>
  <c r="AB65" i="31" s="1"/>
  <c r="AA61" i="31"/>
  <c r="AA66" i="31" s="1"/>
  <c r="Z61" i="31"/>
  <c r="Z67" i="31" s="1"/>
  <c r="Y61" i="31"/>
  <c r="Y67" i="31" s="1"/>
  <c r="X61" i="31"/>
  <c r="X65" i="31" s="1"/>
  <c r="W61" i="31"/>
  <c r="W66" i="31" s="1"/>
  <c r="V61" i="31"/>
  <c r="V67" i="31" s="1"/>
  <c r="U61" i="31"/>
  <c r="U67" i="31" s="1"/>
  <c r="T61" i="31"/>
  <c r="T65" i="31" s="1"/>
  <c r="S61" i="31"/>
  <c r="S66" i="31" s="1"/>
  <c r="R61" i="31"/>
  <c r="R67" i="31" s="1"/>
  <c r="Q61" i="31"/>
  <c r="Q67" i="31" s="1"/>
  <c r="P61" i="31"/>
  <c r="P65" i="31" s="1"/>
  <c r="O61" i="31"/>
  <c r="O66" i="31" s="1"/>
  <c r="N61" i="31"/>
  <c r="N67" i="31" s="1"/>
  <c r="M61" i="31"/>
  <c r="P66" i="31" l="1"/>
  <c r="AF66" i="31"/>
  <c r="U65" i="31"/>
  <c r="AS62" i="31"/>
  <c r="AG65" i="31"/>
  <c r="AW62" i="31"/>
  <c r="AK65" i="31"/>
  <c r="Q65" i="31"/>
  <c r="AQ64" i="31"/>
  <c r="AA67" i="31"/>
  <c r="AU64" i="31"/>
  <c r="T66" i="31"/>
  <c r="AJ66" i="31"/>
  <c r="O67" i="31"/>
  <c r="AE67" i="31"/>
  <c r="AR63" i="31"/>
  <c r="Y65" i="31"/>
  <c r="X66" i="31"/>
  <c r="AN66" i="31"/>
  <c r="S67" i="31"/>
  <c r="AI67" i="31"/>
  <c r="AO62" i="31"/>
  <c r="AV63" i="31"/>
  <c r="AC65" i="31"/>
  <c r="AB66" i="31"/>
  <c r="W67" i="31"/>
  <c r="AM67" i="31"/>
  <c r="AP62" i="31"/>
  <c r="AT62" i="31"/>
  <c r="AO63" i="31"/>
  <c r="AS63" i="31"/>
  <c r="AW63" i="31"/>
  <c r="AR64" i="31"/>
  <c r="AV64" i="31"/>
  <c r="N65" i="31"/>
  <c r="R65" i="31"/>
  <c r="V65" i="31"/>
  <c r="Z65" i="31"/>
  <c r="AD65" i="31"/>
  <c r="AH65" i="31"/>
  <c r="AL65" i="31"/>
  <c r="Q66" i="31"/>
  <c r="U66" i="31"/>
  <c r="Y66" i="31"/>
  <c r="AC66" i="31"/>
  <c r="AG66" i="31"/>
  <c r="AK66" i="31"/>
  <c r="P67" i="31"/>
  <c r="T67" i="31"/>
  <c r="X67" i="31"/>
  <c r="AB67" i="31"/>
  <c r="AF67" i="31"/>
  <c r="AJ67" i="31"/>
  <c r="AN67" i="31"/>
  <c r="AQ62" i="31"/>
  <c r="AU62" i="31"/>
  <c r="AP63" i="31"/>
  <c r="AT63" i="31"/>
  <c r="O65" i="31"/>
  <c r="S65" i="31"/>
  <c r="W65" i="31"/>
  <c r="AA65" i="31"/>
  <c r="AE65" i="31"/>
  <c r="AI65" i="31"/>
  <c r="AM65" i="31"/>
  <c r="N66" i="31"/>
  <c r="R66" i="31"/>
  <c r="V66" i="31"/>
  <c r="Z66" i="31"/>
  <c r="AD66" i="31"/>
  <c r="AH66" i="31"/>
  <c r="AL66" i="31"/>
  <c r="Z43" i="41" l="1"/>
  <c r="W43" i="41"/>
  <c r="T43" i="41"/>
  <c r="BC10" i="39"/>
  <c r="BD10" i="39"/>
  <c r="BE10" i="39"/>
  <c r="Q43" i="41"/>
  <c r="N43" i="41"/>
  <c r="K43" i="41"/>
  <c r="F6" i="41"/>
  <c r="J6" i="41" s="1"/>
  <c r="M6" i="41" s="1"/>
  <c r="P6" i="41" s="1"/>
  <c r="G6" i="41"/>
  <c r="K6" i="41" s="1"/>
  <c r="N6" i="41" s="1"/>
  <c r="Q6" i="41" s="1"/>
  <c r="T6" i="41" s="1"/>
  <c r="H6" i="41"/>
  <c r="L6" i="41" s="1"/>
  <c r="O6" i="41" s="1"/>
  <c r="R6" i="41" s="1"/>
  <c r="U6" i="41" s="1"/>
  <c r="X6" i="41" s="1"/>
  <c r="AA6" i="41" s="1"/>
  <c r="W6" i="41" l="1"/>
  <c r="Z6" i="41" s="1"/>
  <c r="S6" i="41"/>
  <c r="V6" i="41" s="1"/>
  <c r="Y6" i="41" s="1"/>
  <c r="G44" i="41"/>
  <c r="F44" i="41"/>
  <c r="H44" i="41"/>
  <c r="AL33" i="41" l="1"/>
  <c r="AS33" i="41"/>
  <c r="AP33" i="41"/>
  <c r="AI33" i="41"/>
  <c r="AM33" i="41"/>
  <c r="AN33" i="41"/>
  <c r="AJ33" i="41"/>
  <c r="AO33" i="41"/>
  <c r="AK33" i="41"/>
  <c r="AQ33" i="41"/>
  <c r="AR33" i="41"/>
  <c r="AT33" i="41"/>
  <c r="E5" i="40"/>
  <c r="E4" i="40"/>
  <c r="B7" i="39"/>
  <c r="N4" i="40" l="1"/>
  <c r="B2" i="40"/>
  <c r="F73" i="39"/>
  <c r="H26" i="40" l="1"/>
  <c r="G26" i="40"/>
  <c r="F26" i="40"/>
  <c r="H20" i="40"/>
  <c r="G20" i="40"/>
  <c r="F20" i="40"/>
  <c r="H14" i="40"/>
  <c r="G14" i="40"/>
  <c r="F14" i="40"/>
  <c r="D26" i="40"/>
  <c r="D20" i="40"/>
  <c r="D14" i="40"/>
  <c r="D13" i="40"/>
  <c r="D12" i="40"/>
  <c r="D11" i="40"/>
  <c r="D10" i="40"/>
  <c r="D9" i="40"/>
  <c r="D8" i="40"/>
  <c r="E26" i="40"/>
  <c r="E20" i="40"/>
  <c r="E14" i="40"/>
  <c r="J73" i="39" l="1"/>
  <c r="I73" i="39"/>
  <c r="K72" i="39"/>
  <c r="H7" i="40" s="1"/>
  <c r="H73" i="39"/>
  <c r="F83" i="39"/>
  <c r="F84" i="39"/>
  <c r="F85" i="39"/>
  <c r="F86" i="39"/>
  <c r="F82" i="39"/>
  <c r="E25" i="41" l="1"/>
  <c r="F92" i="39"/>
  <c r="D19" i="40"/>
  <c r="F91" i="39"/>
  <c r="D18" i="40"/>
  <c r="F90" i="39"/>
  <c r="D17" i="40"/>
  <c r="F88" i="39"/>
  <c r="D15" i="40"/>
  <c r="F89" i="39"/>
  <c r="D16" i="40"/>
  <c r="F98" i="39" l="1"/>
  <c r="D31" i="40" s="1"/>
  <c r="D25" i="40"/>
  <c r="F95" i="39"/>
  <c r="D28" i="40" s="1"/>
  <c r="D22" i="40"/>
  <c r="F96" i="39"/>
  <c r="D29" i="40" s="1"/>
  <c r="D23" i="40"/>
  <c r="F94" i="39"/>
  <c r="D27" i="40" s="1"/>
  <c r="D21" i="40"/>
  <c r="F97" i="39"/>
  <c r="D30" i="40" s="1"/>
  <c r="D24" i="40"/>
  <c r="K57" i="39" l="1"/>
  <c r="K48" i="39"/>
  <c r="L11" i="39" l="1"/>
  <c r="J10" i="39"/>
  <c r="I10" i="39"/>
  <c r="H10" i="39"/>
  <c r="I5" i="39"/>
  <c r="L73" i="39" l="1"/>
  <c r="L52" i="39"/>
  <c r="L53" i="39"/>
  <c r="L54" i="39"/>
  <c r="H72" i="39"/>
  <c r="E7" i="40" s="1"/>
  <c r="I72" i="39"/>
  <c r="F7" i="40" s="1"/>
  <c r="J72" i="39"/>
  <c r="G7" i="40" s="1"/>
  <c r="AK11" i="39"/>
  <c r="I48" i="39"/>
  <c r="I57" i="39"/>
  <c r="J57" i="39"/>
  <c r="J48" i="39"/>
  <c r="H57" i="39"/>
  <c r="H48" i="39"/>
  <c r="L48" i="39"/>
  <c r="L58" i="39" s="1"/>
  <c r="L57" i="39"/>
  <c r="AC11" i="39"/>
  <c r="AS11" i="39"/>
  <c r="M11" i="39"/>
  <c r="L10" i="39"/>
  <c r="L72" i="39" s="1"/>
  <c r="AG11" i="39"/>
  <c r="Q11" i="39"/>
  <c r="AW11" i="39"/>
  <c r="U11" i="39"/>
  <c r="AV11" i="39"/>
  <c r="AR11" i="39"/>
  <c r="AN11" i="39"/>
  <c r="AJ11" i="39"/>
  <c r="AF11" i="39"/>
  <c r="AB11" i="39"/>
  <c r="X11" i="39"/>
  <c r="T11" i="39"/>
  <c r="P11" i="39"/>
  <c r="D2" i="39"/>
  <c r="AU11" i="39"/>
  <c r="AQ11" i="39"/>
  <c r="AM11" i="39"/>
  <c r="AE11" i="39"/>
  <c r="AA11" i="39"/>
  <c r="S11" i="39"/>
  <c r="O11" i="39"/>
  <c r="V11" i="39"/>
  <c r="AI11" i="39"/>
  <c r="W11" i="39"/>
  <c r="AT11" i="39"/>
  <c r="AH11" i="39"/>
  <c r="Z11" i="39"/>
  <c r="N11" i="39"/>
  <c r="AX11" i="39"/>
  <c r="AP11" i="39"/>
  <c r="AL11" i="39"/>
  <c r="AD11" i="39"/>
  <c r="R11" i="39"/>
  <c r="Y11" i="39"/>
  <c r="AO11" i="39"/>
  <c r="AB73" i="39" l="1"/>
  <c r="AR73" i="39"/>
  <c r="Q73" i="39"/>
  <c r="AK73" i="39"/>
  <c r="AK54" i="39"/>
  <c r="AK52" i="39"/>
  <c r="AK53" i="39"/>
  <c r="AP73" i="39"/>
  <c r="V73" i="39"/>
  <c r="AE73" i="39"/>
  <c r="R73" i="39"/>
  <c r="AX73" i="39"/>
  <c r="AT73" i="39"/>
  <c r="O73" i="39"/>
  <c r="AM73" i="39"/>
  <c r="P73" i="39"/>
  <c r="AF73" i="39"/>
  <c r="AG73" i="39"/>
  <c r="Y73" i="39"/>
  <c r="AH73" i="39"/>
  <c r="AD73" i="39"/>
  <c r="W73" i="39"/>
  <c r="S73" i="39"/>
  <c r="AQ73" i="39"/>
  <c r="T73" i="39"/>
  <c r="AJ73" i="39"/>
  <c r="AJ53" i="39"/>
  <c r="AJ52" i="39"/>
  <c r="AJ54" i="39"/>
  <c r="U73" i="39"/>
  <c r="N73" i="39"/>
  <c r="N54" i="39"/>
  <c r="N53" i="39"/>
  <c r="N52" i="39"/>
  <c r="AO73" i="39"/>
  <c r="AL73" i="39"/>
  <c r="AL54" i="39"/>
  <c r="AL53" i="39"/>
  <c r="AL52" i="39"/>
  <c r="Z73" i="39"/>
  <c r="AI73" i="39"/>
  <c r="AA73" i="39"/>
  <c r="AU73" i="39"/>
  <c r="X73" i="39"/>
  <c r="AN73" i="39"/>
  <c r="AW73" i="39"/>
  <c r="M73" i="39"/>
  <c r="M53" i="39"/>
  <c r="M52" i="39"/>
  <c r="M54" i="39"/>
  <c r="AV73" i="39"/>
  <c r="AK10" i="39"/>
  <c r="AK72" i="39" s="1"/>
  <c r="AK57" i="39"/>
  <c r="AK48" i="39"/>
  <c r="AK58" i="39" s="1"/>
  <c r="AS10" i="39"/>
  <c r="AS72" i="39" s="1"/>
  <c r="AS73" i="39"/>
  <c r="AC10" i="39"/>
  <c r="AC72" i="39" s="1"/>
  <c r="AC73" i="39"/>
  <c r="AW48" i="39"/>
  <c r="AW58" i="39" s="1"/>
  <c r="AW57" i="39"/>
  <c r="AV48" i="39"/>
  <c r="AV58" i="39" s="1"/>
  <c r="AV57" i="39"/>
  <c r="AX48" i="39"/>
  <c r="AX58" i="39" s="1"/>
  <c r="AX57" i="39"/>
  <c r="AH57" i="39"/>
  <c r="AH48" i="39"/>
  <c r="AH58" i="39" s="1"/>
  <c r="AE48" i="39"/>
  <c r="AE58" i="39" s="1"/>
  <c r="AE57" i="39"/>
  <c r="R57" i="39"/>
  <c r="R48" i="39"/>
  <c r="R58" i="39" s="1"/>
  <c r="AT57" i="39"/>
  <c r="AT48" i="39"/>
  <c r="AT58" i="39" s="1"/>
  <c r="O48" i="39"/>
  <c r="O58" i="39" s="1"/>
  <c r="O57" i="39"/>
  <c r="AM48" i="39"/>
  <c r="AM58" i="39" s="1"/>
  <c r="AM57" i="39"/>
  <c r="P48" i="39"/>
  <c r="P58" i="39" s="1"/>
  <c r="P57" i="39"/>
  <c r="AF48" i="39"/>
  <c r="AF58" i="39" s="1"/>
  <c r="AF57" i="39"/>
  <c r="Q57" i="39"/>
  <c r="Q48" i="39"/>
  <c r="Q58" i="39" s="1"/>
  <c r="AP57" i="39"/>
  <c r="AP48" i="39"/>
  <c r="AP58" i="39" s="1"/>
  <c r="V57" i="39"/>
  <c r="V48" i="39"/>
  <c r="V58" i="39" s="1"/>
  <c r="AD57" i="39"/>
  <c r="AD48" i="39"/>
  <c r="AD58" i="39" s="1"/>
  <c r="N57" i="39"/>
  <c r="N48" i="39"/>
  <c r="N58" i="39" s="1"/>
  <c r="W48" i="39"/>
  <c r="W58" i="39" s="1"/>
  <c r="W57" i="39"/>
  <c r="S48" i="39"/>
  <c r="S58" i="39" s="1"/>
  <c r="S57" i="39"/>
  <c r="AQ48" i="39"/>
  <c r="AQ58" i="39" s="1"/>
  <c r="AQ57" i="39"/>
  <c r="T48" i="39"/>
  <c r="T58" i="39" s="1"/>
  <c r="T57" i="39"/>
  <c r="AJ48" i="39"/>
  <c r="AJ58" i="39" s="1"/>
  <c r="AJ57" i="39"/>
  <c r="M10" i="39"/>
  <c r="M72" i="39" s="1"/>
  <c r="M57" i="39"/>
  <c r="M48" i="39"/>
  <c r="M58" i="39" s="1"/>
  <c r="Y57" i="39"/>
  <c r="Y48" i="39"/>
  <c r="Y58" i="39" s="1"/>
  <c r="AO57" i="39"/>
  <c r="AO48" i="39"/>
  <c r="AO58" i="39" s="1"/>
  <c r="AL57" i="39"/>
  <c r="AL48" i="39"/>
  <c r="AL58" i="39" s="1"/>
  <c r="Z57" i="39"/>
  <c r="Z48" i="39"/>
  <c r="Z58" i="39" s="1"/>
  <c r="AI48" i="39"/>
  <c r="AI58" i="39" s="1"/>
  <c r="AI57" i="39"/>
  <c r="AA48" i="39"/>
  <c r="AA58" i="39" s="1"/>
  <c r="AA57" i="39"/>
  <c r="AU48" i="39"/>
  <c r="AU58" i="39" s="1"/>
  <c r="AU57" i="39"/>
  <c r="X48" i="39"/>
  <c r="X58" i="39" s="1"/>
  <c r="X57" i="39"/>
  <c r="AN48" i="39"/>
  <c r="AN58" i="39" s="1"/>
  <c r="AN57" i="39"/>
  <c r="U57" i="39"/>
  <c r="U48" i="39"/>
  <c r="U58" i="39" s="1"/>
  <c r="AG57" i="39"/>
  <c r="AG48" i="39"/>
  <c r="AG58" i="39" s="1"/>
  <c r="AS57" i="39"/>
  <c r="AS48" i="39"/>
  <c r="AS58" i="39" s="1"/>
  <c r="AB48" i="39"/>
  <c r="AB58" i="39" s="1"/>
  <c r="AB57" i="39"/>
  <c r="AR48" i="39"/>
  <c r="AR58" i="39" s="1"/>
  <c r="AR57" i="39"/>
  <c r="AC57" i="39"/>
  <c r="AC48" i="39"/>
  <c r="AC58" i="39" s="1"/>
  <c r="V10" i="39"/>
  <c r="V72" i="39" s="1"/>
  <c r="AE10" i="39"/>
  <c r="AE72" i="39" s="1"/>
  <c r="AR10" i="39"/>
  <c r="AR72" i="39" s="1"/>
  <c r="AL10" i="39"/>
  <c r="AL72" i="39" s="1"/>
  <c r="AM10" i="39"/>
  <c r="AM72" i="39" s="1"/>
  <c r="AF10" i="39"/>
  <c r="AF72" i="39" s="1"/>
  <c r="AV10" i="39"/>
  <c r="AV72" i="39" s="1"/>
  <c r="AW10" i="39"/>
  <c r="AW72" i="39" s="1"/>
  <c r="AG10" i="39"/>
  <c r="AG72" i="39" s="1"/>
  <c r="Y10" i="39"/>
  <c r="Y72" i="39" s="1"/>
  <c r="AP10" i="39"/>
  <c r="AP72" i="39" s="1"/>
  <c r="Z10" i="39"/>
  <c r="Z72" i="39" s="1"/>
  <c r="W10" i="39"/>
  <c r="W72" i="39" s="1"/>
  <c r="S10" i="39"/>
  <c r="S72" i="39" s="1"/>
  <c r="AQ10" i="39"/>
  <c r="AQ72" i="39" s="1"/>
  <c r="T10" i="39"/>
  <c r="T72" i="39" s="1"/>
  <c r="AJ10" i="39"/>
  <c r="AJ72" i="39" s="1"/>
  <c r="U10" i="39"/>
  <c r="U72" i="39" s="1"/>
  <c r="Q10" i="39"/>
  <c r="Q72" i="39" s="1"/>
  <c r="AO10" i="39"/>
  <c r="AO72" i="39" s="1"/>
  <c r="N10" i="39"/>
  <c r="N72" i="39" s="1"/>
  <c r="O10" i="39"/>
  <c r="O72" i="39" s="1"/>
  <c r="P10" i="39"/>
  <c r="P72" i="39" s="1"/>
  <c r="R10" i="39"/>
  <c r="R72" i="39" s="1"/>
  <c r="AX10" i="39"/>
  <c r="AX72" i="39" s="1"/>
  <c r="AH10" i="39"/>
  <c r="AH72" i="39" s="1"/>
  <c r="AI10" i="39"/>
  <c r="AI72" i="39" s="1"/>
  <c r="AA10" i="39"/>
  <c r="AA72" i="39" s="1"/>
  <c r="AU10" i="39"/>
  <c r="AU72" i="39" s="1"/>
  <c r="X10" i="39"/>
  <c r="X72" i="39" s="1"/>
  <c r="AN10" i="39"/>
  <c r="AN72" i="39" s="1"/>
  <c r="AD10" i="39"/>
  <c r="AD72" i="39" s="1"/>
  <c r="AT10" i="39"/>
  <c r="AT72" i="39" s="1"/>
  <c r="AB10" i="39"/>
  <c r="AB72" i="39" s="1"/>
  <c r="D25" i="41" l="1"/>
  <c r="F44" i="39"/>
  <c r="D44" i="39" l="1"/>
  <c r="E44" i="39"/>
  <c r="D41" i="41" l="1"/>
  <c r="D29" i="41"/>
  <c r="F40" i="39"/>
  <c r="F39" i="39"/>
  <c r="E40" i="39"/>
  <c r="D40" i="39"/>
  <c r="E39" i="39"/>
  <c r="D39" i="39"/>
  <c r="H41" i="41" l="1"/>
  <c r="U41" i="41" s="1"/>
  <c r="H29" i="41"/>
  <c r="F29" i="41"/>
  <c r="G29" i="41"/>
  <c r="G41" i="41"/>
  <c r="F41" i="41"/>
  <c r="F25" i="41"/>
  <c r="G25" i="41"/>
  <c r="H25" i="41"/>
  <c r="Q25" i="41" l="1"/>
  <c r="M25" i="41"/>
  <c r="P25" i="41"/>
  <c r="L25" i="41"/>
  <c r="O25" i="41"/>
  <c r="K25" i="41"/>
  <c r="R25" i="41"/>
  <c r="N25" i="41"/>
  <c r="J25" i="41"/>
  <c r="Q29" i="41"/>
  <c r="M29" i="41"/>
  <c r="N29" i="41"/>
  <c r="P29" i="41"/>
  <c r="L29" i="41"/>
  <c r="J29" i="41"/>
  <c r="O29" i="41"/>
  <c r="K29" i="41"/>
  <c r="R29" i="41"/>
  <c r="R41" i="41"/>
  <c r="Q41" i="41"/>
  <c r="P41" i="41"/>
  <c r="V25" i="41"/>
  <c r="Y25" i="41"/>
  <c r="S25" i="41"/>
  <c r="AA29" i="41"/>
  <c r="U29" i="41"/>
  <c r="X29" i="41"/>
  <c r="U25" i="41"/>
  <c r="X25" i="41"/>
  <c r="AA25" i="41"/>
  <c r="V29" i="41"/>
  <c r="Y29" i="41"/>
  <c r="S29" i="41"/>
  <c r="Z25" i="41"/>
  <c r="T25" i="41"/>
  <c r="W25" i="41"/>
  <c r="Z29" i="41"/>
  <c r="W29" i="41"/>
  <c r="T29" i="41"/>
  <c r="W41" i="41"/>
  <c r="T41" i="41"/>
  <c r="S41" i="41"/>
  <c r="Y41" i="41"/>
  <c r="V41" i="41"/>
  <c r="AA41" i="41"/>
  <c r="X41" i="41"/>
  <c r="Z41" i="41"/>
  <c r="M41" i="41"/>
  <c r="O41" i="41"/>
  <c r="N41" i="41"/>
  <c r="K41" i="41"/>
  <c r="J41" i="41"/>
  <c r="L41" i="41"/>
  <c r="I25" i="41"/>
  <c r="I29" i="41"/>
  <c r="I41" i="41"/>
  <c r="G44" i="39" l="1"/>
  <c r="BC44" i="39" l="1"/>
  <c r="BD44" i="39"/>
  <c r="E39" i="41" l="1"/>
  <c r="E32" i="41" l="1"/>
  <c r="E16" i="41"/>
  <c r="E27" i="41" l="1"/>
  <c r="E8" i="41" l="1"/>
  <c r="D20" i="41" l="1"/>
  <c r="E41" i="41" l="1"/>
  <c r="E28" i="41" l="1"/>
  <c r="D31" i="41"/>
  <c r="D35" i="41" l="1"/>
  <c r="E13" i="41"/>
  <c r="D18" i="41" l="1"/>
  <c r="D40" i="41" l="1"/>
  <c r="D37" i="41" l="1"/>
  <c r="F29" i="39" l="1"/>
  <c r="E14" i="39"/>
  <c r="F21" i="39"/>
  <c r="D35" i="39"/>
  <c r="D34" i="39"/>
  <c r="F20" i="39"/>
  <c r="E45" i="39"/>
  <c r="E19" i="39"/>
  <c r="D16" i="39"/>
  <c r="F36" i="39"/>
  <c r="G19" i="39"/>
  <c r="D28" i="39"/>
  <c r="G42" i="39"/>
  <c r="F24" i="39"/>
  <c r="E16" i="39"/>
  <c r="D30" i="39"/>
  <c r="E20" i="39"/>
  <c r="G39" i="39"/>
  <c r="E21" i="39"/>
  <c r="F35" i="39"/>
  <c r="D41" i="39"/>
  <c r="D24" i="39"/>
  <c r="E25" i="39"/>
  <c r="D23" i="39"/>
  <c r="E29" i="39"/>
  <c r="E34" i="39"/>
  <c r="D22" i="39"/>
  <c r="G15" i="39"/>
  <c r="D31" i="39"/>
  <c r="E38" i="39"/>
  <c r="D27" i="39"/>
  <c r="D25" i="39"/>
  <c r="D29" i="39"/>
  <c r="E43" i="39"/>
  <c r="G27" i="39"/>
  <c r="E24" i="39"/>
  <c r="E23" i="39"/>
  <c r="G31" i="39"/>
  <c r="G38" i="39"/>
  <c r="D33" i="39"/>
  <c r="E37" i="39"/>
  <c r="G32" i="39"/>
  <c r="E32" i="39"/>
  <c r="E42" i="39"/>
  <c r="D20" i="39"/>
  <c r="BD38" i="39" l="1"/>
  <c r="BC38" i="39"/>
  <c r="BD31" i="39"/>
  <c r="BC31" i="39"/>
  <c r="BD15" i="39"/>
  <c r="BE15" i="39"/>
  <c r="BD39" i="39"/>
  <c r="BC39" i="39"/>
  <c r="BD32" i="39"/>
  <c r="BC32" i="39"/>
  <c r="BD42" i="39"/>
  <c r="BC42" i="39"/>
  <c r="BC27" i="39"/>
  <c r="BD27" i="39"/>
  <c r="BC19" i="39"/>
  <c r="BE19" i="39"/>
  <c r="AX44" i="39" l="1"/>
  <c r="AW44" i="39"/>
  <c r="AV44" i="39"/>
  <c r="AV19" i="39"/>
  <c r="AX19" i="39"/>
  <c r="AW19" i="39"/>
  <c r="AW32" i="39"/>
  <c r="AX32" i="39"/>
  <c r="AV32" i="39"/>
  <c r="AX27" i="39"/>
  <c r="AV27" i="39"/>
  <c r="AW27" i="39"/>
  <c r="AV15" i="39"/>
  <c r="AW15" i="39"/>
  <c r="AX15" i="39"/>
  <c r="AW42" i="39"/>
  <c r="AV42" i="39"/>
  <c r="AX42" i="39"/>
  <c r="AV38" i="39"/>
  <c r="AW38" i="39"/>
  <c r="AX38" i="39"/>
  <c r="AX31" i="39"/>
  <c r="AW31" i="39"/>
  <c r="AV31" i="39"/>
  <c r="AV39" i="39"/>
  <c r="AX39" i="39"/>
  <c r="AW39" i="39"/>
  <c r="AJ62" i="39"/>
  <c r="AK63" i="39"/>
  <c r="AL64" i="39"/>
  <c r="AK62" i="39"/>
  <c r="AL63" i="39"/>
  <c r="AL62" i="39"/>
  <c r="AJ64" i="39"/>
  <c r="AJ63" i="39"/>
  <c r="AK64" i="39"/>
  <c r="AW34" i="39" l="1"/>
  <c r="AV34" i="39"/>
  <c r="AX34" i="39"/>
  <c r="AW41" i="39"/>
  <c r="AV41" i="39"/>
  <c r="AX41" i="39"/>
  <c r="AV14" i="39"/>
  <c r="AW14" i="39"/>
  <c r="AX14" i="39"/>
  <c r="AW18" i="39"/>
  <c r="AV18" i="39"/>
  <c r="AX18" i="39"/>
  <c r="AV26" i="39"/>
  <c r="AW26" i="39"/>
  <c r="AX26" i="39"/>
  <c r="AV20" i="39"/>
  <c r="AW20" i="39"/>
  <c r="AX20" i="39"/>
  <c r="AV29" i="39"/>
  <c r="AW36" i="39"/>
  <c r="AV36" i="39"/>
  <c r="AX36" i="39"/>
  <c r="AV23" i="39"/>
  <c r="AX23" i="39"/>
  <c r="AW23" i="39"/>
  <c r="AX30" i="39"/>
  <c r="AV30" i="39"/>
  <c r="AW30" i="39"/>
  <c r="AX21" i="39"/>
  <c r="AV21" i="39"/>
  <c r="AW21" i="39"/>
  <c r="AV16" i="39"/>
  <c r="AW16" i="39"/>
  <c r="AX16" i="39"/>
  <c r="AX25" i="39"/>
  <c r="AV25" i="39"/>
  <c r="AW25" i="39"/>
  <c r="AX22" i="39"/>
  <c r="AX24" i="39"/>
  <c r="AW24" i="39"/>
  <c r="AV24" i="39"/>
  <c r="AX45" i="39"/>
  <c r="AV45" i="39"/>
  <c r="AW45" i="39"/>
  <c r="AX29" i="39"/>
  <c r="AW22" i="39"/>
  <c r="AV33" i="39"/>
  <c r="AW33" i="39"/>
  <c r="AX33" i="39"/>
  <c r="AX40" i="39"/>
  <c r="AW40" i="39"/>
  <c r="AV40" i="39"/>
  <c r="AX43" i="39"/>
  <c r="AW43" i="39"/>
  <c r="AV43" i="39"/>
  <c r="AX37" i="39"/>
  <c r="AV37" i="39"/>
  <c r="AW37" i="39"/>
  <c r="AV28" i="39"/>
  <c r="AW28" i="39"/>
  <c r="AX28" i="39"/>
  <c r="AX35" i="39"/>
  <c r="AW35" i="39"/>
  <c r="AV35" i="39"/>
  <c r="AV17" i="39"/>
  <c r="AW17" i="39"/>
  <c r="AX17" i="39"/>
  <c r="AW29" i="39"/>
  <c r="N63" i="39"/>
  <c r="M63" i="39"/>
  <c r="L63" i="39"/>
  <c r="G24" i="41" l="1"/>
  <c r="H8" i="41"/>
  <c r="U8" i="41" s="1"/>
  <c r="D21" i="39"/>
  <c r="F37" i="39"/>
  <c r="D36" i="41"/>
  <c r="F28" i="39"/>
  <c r="D38" i="41"/>
  <c r="F23" i="41"/>
  <c r="H40" i="41"/>
  <c r="X40" i="41" s="1"/>
  <c r="G22" i="39"/>
  <c r="BC22" i="39" s="1"/>
  <c r="E21" i="41"/>
  <c r="D9" i="41"/>
  <c r="F13" i="39"/>
  <c r="H21" i="41"/>
  <c r="F41" i="39"/>
  <c r="D33" i="41"/>
  <c r="G8" i="41"/>
  <c r="H16" i="41"/>
  <c r="E35" i="39"/>
  <c r="D21" i="41"/>
  <c r="F22" i="39"/>
  <c r="F35" i="41"/>
  <c r="E22" i="39"/>
  <c r="G40" i="41"/>
  <c r="H33" i="41"/>
  <c r="E30" i="39"/>
  <c r="G30" i="41"/>
  <c r="W30" i="41" s="1"/>
  <c r="F23" i="39"/>
  <c r="D15" i="41"/>
  <c r="G37" i="41"/>
  <c r="F31" i="39"/>
  <c r="BE31" i="39" s="1"/>
  <c r="D16" i="41"/>
  <c r="D12" i="39"/>
  <c r="E41" i="39"/>
  <c r="D42" i="39"/>
  <c r="D38" i="39"/>
  <c r="E40" i="41"/>
  <c r="G21" i="39"/>
  <c r="BE21" i="39" s="1"/>
  <c r="G35" i="41"/>
  <c r="G33" i="39"/>
  <c r="E34" i="41"/>
  <c r="D26" i="39"/>
  <c r="F19" i="39"/>
  <c r="BD19" i="39" s="1"/>
  <c r="D13" i="41"/>
  <c r="F15" i="39"/>
  <c r="BC15" i="39" s="1"/>
  <c r="AN15" i="39" s="1"/>
  <c r="D8" i="41"/>
  <c r="F16" i="39"/>
  <c r="D11" i="41"/>
  <c r="H30" i="41"/>
  <c r="H26" i="41"/>
  <c r="D13" i="39"/>
  <c r="H15" i="41"/>
  <c r="H19" i="41"/>
  <c r="F34" i="41"/>
  <c r="E37" i="41"/>
  <c r="G29" i="39"/>
  <c r="BD29" i="39" s="1"/>
  <c r="H14" i="41"/>
  <c r="D23" i="41"/>
  <c r="F30" i="39"/>
  <c r="H18" i="41"/>
  <c r="G13" i="39"/>
  <c r="E9" i="41"/>
  <c r="G31" i="41"/>
  <c r="E36" i="41"/>
  <c r="G37" i="39"/>
  <c r="BD37" i="39" s="1"/>
  <c r="G19" i="41"/>
  <c r="E12" i="39"/>
  <c r="E13" i="39"/>
  <c r="D32" i="39"/>
  <c r="E31" i="39"/>
  <c r="G45" i="39"/>
  <c r="BC45" i="39" s="1"/>
  <c r="E30" i="41"/>
  <c r="G14" i="39"/>
  <c r="E10" i="41"/>
  <c r="D14" i="41"/>
  <c r="F18" i="39"/>
  <c r="F28" i="41"/>
  <c r="AA52" i="31"/>
  <c r="AA64" i="31" s="1"/>
  <c r="AN51" i="31"/>
  <c r="AN63" i="31" s="1"/>
  <c r="AS54" i="31"/>
  <c r="AS66" i="31" s="1"/>
  <c r="AR54" i="31"/>
  <c r="AR66" i="31" s="1"/>
  <c r="AS55" i="31"/>
  <c r="AS67" i="31" s="1"/>
  <c r="R51" i="31"/>
  <c r="R63" i="31" s="1"/>
  <c r="AM51" i="31"/>
  <c r="AM63" i="31" s="1"/>
  <c r="AK51" i="31"/>
  <c r="AK63" i="31" s="1"/>
  <c r="AN52" i="31"/>
  <c r="AN64" i="31" s="1"/>
  <c r="S52" i="31"/>
  <c r="S64" i="31" s="1"/>
  <c r="X51" i="31"/>
  <c r="X63" i="31" s="1"/>
  <c r="AL52" i="31"/>
  <c r="Y52" i="31"/>
  <c r="Y64" i="31" s="1"/>
  <c r="AE52" i="31"/>
  <c r="AE64" i="31" s="1"/>
  <c r="U52" i="31"/>
  <c r="U64" i="31" s="1"/>
  <c r="AW54" i="31"/>
  <c r="AW66" i="31" s="1"/>
  <c r="AQ55" i="31"/>
  <c r="AQ67" i="31" s="1"/>
  <c r="S51" i="31"/>
  <c r="S63" i="31" s="1"/>
  <c r="AL51" i="31"/>
  <c r="AP55" i="31"/>
  <c r="AP67" i="31" s="1"/>
  <c r="AD52" i="31"/>
  <c r="AD64" i="31" s="1"/>
  <c r="AJ51" i="31"/>
  <c r="AJ63" i="31" s="1"/>
  <c r="AM52" i="31"/>
  <c r="AM64" i="31" s="1"/>
  <c r="AK52" i="31"/>
  <c r="AK64" i="31" s="1"/>
  <c r="AV55" i="31"/>
  <c r="AV67" i="31" s="1"/>
  <c r="U51" i="31"/>
  <c r="U63" i="31" s="1"/>
  <c r="AI51" i="31"/>
  <c r="AI63" i="31" s="1"/>
  <c r="AD51" i="31"/>
  <c r="AD63" i="31" s="1"/>
  <c r="AJ52" i="31"/>
  <c r="AJ64" i="31" s="1"/>
  <c r="V52" i="31"/>
  <c r="V64" i="31" s="1"/>
  <c r="T51" i="31"/>
  <c r="T63" i="31" s="1"/>
  <c r="O52" i="31"/>
  <c r="O64" i="31" s="1"/>
  <c r="P51" i="31"/>
  <c r="P63" i="31" s="1"/>
  <c r="AH52" i="31"/>
  <c r="AH64" i="31" s="1"/>
  <c r="Q52" i="31"/>
  <c r="Q64" i="31" s="1"/>
  <c r="E12" i="41"/>
  <c r="AW55" i="31"/>
  <c r="AW67" i="31" s="1"/>
  <c r="V51" i="31"/>
  <c r="V63" i="31" s="1"/>
  <c r="T52" i="31"/>
  <c r="T64" i="31" s="1"/>
  <c r="N52" i="31"/>
  <c r="N64" i="31" s="1"/>
  <c r="AQ54" i="31"/>
  <c r="AQ66" i="31" s="1"/>
  <c r="W52" i="31"/>
  <c r="W64" i="31" s="1"/>
  <c r="AF51" i="31"/>
  <c r="AF63" i="31" s="1"/>
  <c r="AO54" i="31"/>
  <c r="AO66" i="31" s="1"/>
  <c r="AG52" i="31"/>
  <c r="AG64" i="31" s="1"/>
  <c r="AO55" i="31"/>
  <c r="AO67" i="31" s="1"/>
  <c r="N51" i="31"/>
  <c r="N63" i="31" s="1"/>
  <c r="AE51" i="31"/>
  <c r="AE63" i="31" s="1"/>
  <c r="AG51" i="31"/>
  <c r="AG63" i="31" s="1"/>
  <c r="AF52" i="31"/>
  <c r="AF64" i="31" s="1"/>
  <c r="Z51" i="31"/>
  <c r="Z63" i="31" s="1"/>
  <c r="AB52" i="31"/>
  <c r="AB64" i="31" s="1"/>
  <c r="R52" i="31"/>
  <c r="R64" i="31" s="1"/>
  <c r="AT55" i="31"/>
  <c r="AT67" i="31" s="1"/>
  <c r="AA51" i="31"/>
  <c r="AA63" i="31" s="1"/>
  <c r="AP54" i="31"/>
  <c r="AP66" i="31" s="1"/>
  <c r="AV54" i="31"/>
  <c r="AV66" i="31" s="1"/>
  <c r="O51" i="31"/>
  <c r="O63" i="31" s="1"/>
  <c r="Y51" i="31"/>
  <c r="Y63" i="31" s="1"/>
  <c r="P52" i="31"/>
  <c r="P64" i="31" s="1"/>
  <c r="AH51" i="31"/>
  <c r="AH63" i="31" s="1"/>
  <c r="AU54" i="31"/>
  <c r="AU66" i="31" s="1"/>
  <c r="Z52" i="31"/>
  <c r="Z64" i="31" s="1"/>
  <c r="AB51" i="31"/>
  <c r="AB63" i="31" s="1"/>
  <c r="AI52" i="31"/>
  <c r="AI64" i="31" s="1"/>
  <c r="AC52" i="31"/>
  <c r="AC64" i="31" s="1"/>
  <c r="AR55" i="31"/>
  <c r="AR67" i="31" s="1"/>
  <c r="Q51" i="31"/>
  <c r="Q63" i="31" s="1"/>
  <c r="AT54" i="31"/>
  <c r="AT66" i="31" s="1"/>
  <c r="AU55" i="31"/>
  <c r="AU67" i="31" s="1"/>
  <c r="W51" i="31"/>
  <c r="W63" i="31" s="1"/>
  <c r="AC51" i="31"/>
  <c r="AC63" i="31" s="1"/>
  <c r="X52" i="31"/>
  <c r="X64" i="31" s="1"/>
  <c r="G12" i="39"/>
  <c r="BD12" i="39" s="1"/>
  <c r="G11" i="41"/>
  <c r="Z11" i="41" s="1"/>
  <c r="D14" i="39"/>
  <c r="E15" i="41"/>
  <c r="G23" i="39"/>
  <c r="F12" i="39"/>
  <c r="BE39" i="39"/>
  <c r="V39" i="39" s="1"/>
  <c r="BE44" i="39"/>
  <c r="AD44" i="39" s="1"/>
  <c r="D12" i="41"/>
  <c r="H39" i="41"/>
  <c r="U39" i="41" s="1"/>
  <c r="G26" i="39"/>
  <c r="BC26" i="39" s="1"/>
  <c r="E26" i="41"/>
  <c r="D32" i="41"/>
  <c r="F38" i="39"/>
  <c r="BE38" i="39" s="1"/>
  <c r="P38" i="39" s="1"/>
  <c r="G28" i="41"/>
  <c r="W28" i="41" s="1"/>
  <c r="F26" i="39"/>
  <c r="D26" i="41"/>
  <c r="H24" i="41"/>
  <c r="H22" i="41"/>
  <c r="G17" i="39"/>
  <c r="E17" i="41"/>
  <c r="F37" i="41"/>
  <c r="G21" i="41"/>
  <c r="Z21" i="41" s="1"/>
  <c r="E31" i="41"/>
  <c r="G24" i="39"/>
  <c r="BC24" i="39" s="1"/>
  <c r="H36" i="41"/>
  <c r="G36" i="41"/>
  <c r="F26" i="41"/>
  <c r="M26" i="41" s="1"/>
  <c r="E26" i="39"/>
  <c r="F33" i="41"/>
  <c r="V33" i="41" s="1"/>
  <c r="E35" i="41"/>
  <c r="G36" i="39"/>
  <c r="BE36" i="39" s="1"/>
  <c r="F13" i="41"/>
  <c r="J13" i="41" s="1"/>
  <c r="F16" i="41"/>
  <c r="J16" i="41" s="1"/>
  <c r="H27" i="41"/>
  <c r="AA27" i="41" s="1"/>
  <c r="H20" i="41"/>
  <c r="U20" i="41" s="1"/>
  <c r="F30" i="41"/>
  <c r="J30" i="41" s="1"/>
  <c r="H31" i="41"/>
  <c r="X31" i="41" s="1"/>
  <c r="D17" i="39"/>
  <c r="E18" i="39"/>
  <c r="D43" i="39"/>
  <c r="E27" i="39"/>
  <c r="G20" i="41"/>
  <c r="Z20" i="41" s="1"/>
  <c r="F17" i="41"/>
  <c r="P17" i="41" s="1"/>
  <c r="F17" i="39"/>
  <c r="D17" i="41"/>
  <c r="H32" i="41"/>
  <c r="G23" i="41"/>
  <c r="T23" i="41" s="1"/>
  <c r="F45" i="39"/>
  <c r="BE45" i="39" s="1"/>
  <c r="D30" i="41"/>
  <c r="G38" i="41"/>
  <c r="G25" i="39"/>
  <c r="E22" i="41"/>
  <c r="E17" i="39"/>
  <c r="G39" i="41"/>
  <c r="E18" i="41"/>
  <c r="G20" i="39"/>
  <c r="G26" i="41"/>
  <c r="H23" i="41"/>
  <c r="U23" i="41" s="1"/>
  <c r="D36" i="39"/>
  <c r="F11" i="41"/>
  <c r="S11" i="41" s="1"/>
  <c r="D24" i="41"/>
  <c r="F34" i="39"/>
  <c r="D18" i="39"/>
  <c r="F20" i="41"/>
  <c r="Y20" i="41" s="1"/>
  <c r="F33" i="39"/>
  <c r="BE33" i="39" s="1"/>
  <c r="D34" i="41"/>
  <c r="F42" i="39"/>
  <c r="BE42" i="39" s="1"/>
  <c r="AM42" i="39" s="1"/>
  <c r="D28" i="41"/>
  <c r="F10" i="41"/>
  <c r="E23" i="41"/>
  <c r="G30" i="39"/>
  <c r="BC30" i="39" s="1"/>
  <c r="H13" i="41"/>
  <c r="F22" i="41"/>
  <c r="V22" i="41" s="1"/>
  <c r="F32" i="39"/>
  <c r="BE32" i="39" s="1"/>
  <c r="AG32" i="39" s="1"/>
  <c r="D39" i="41"/>
  <c r="E28" i="39"/>
  <c r="E15" i="39"/>
  <c r="G32" i="41"/>
  <c r="W32" i="41" s="1"/>
  <c r="G15" i="41"/>
  <c r="W15" i="41" s="1"/>
  <c r="E24" i="41"/>
  <c r="G34" i="39"/>
  <c r="D19" i="39"/>
  <c r="G22" i="41"/>
  <c r="G43" i="39"/>
  <c r="E19" i="41"/>
  <c r="G13" i="41"/>
  <c r="W13" i="41" s="1"/>
  <c r="G16" i="39"/>
  <c r="E11" i="41"/>
  <c r="H35" i="41"/>
  <c r="AA35" i="41" s="1"/>
  <c r="E14" i="41"/>
  <c r="G18" i="39"/>
  <c r="G14" i="41"/>
  <c r="T14" i="41" s="1"/>
  <c r="D45" i="39"/>
  <c r="E36" i="39"/>
  <c r="G27" i="41"/>
  <c r="W27" i="41" s="1"/>
  <c r="H10" i="41"/>
  <c r="AA10" i="41" s="1"/>
  <c r="F19" i="41"/>
  <c r="D27" i="41"/>
  <c r="F27" i="39"/>
  <c r="BE27" i="39" s="1"/>
  <c r="F25" i="39"/>
  <c r="D22" i="41"/>
  <c r="G41" i="39"/>
  <c r="BD41" i="39" s="1"/>
  <c r="E33" i="41"/>
  <c r="G40" i="39"/>
  <c r="BD40" i="39" s="1"/>
  <c r="E29" i="41"/>
  <c r="H38" i="41"/>
  <c r="X38" i="41" s="1"/>
  <c r="D10" i="41"/>
  <c r="F14" i="39"/>
  <c r="H11" i="41"/>
  <c r="X11" i="41" s="1"/>
  <c r="H17" i="41"/>
  <c r="D37" i="39"/>
  <c r="E33" i="39"/>
  <c r="D15" i="39"/>
  <c r="G16" i="41"/>
  <c r="F8" i="41"/>
  <c r="I8" i="41" s="1"/>
  <c r="H37" i="41"/>
  <c r="AA37" i="41" s="1"/>
  <c r="G34" i="41"/>
  <c r="F38" i="41"/>
  <c r="P38" i="41" s="1"/>
  <c r="H34" i="41"/>
  <c r="G28" i="39"/>
  <c r="BC28" i="39" s="1"/>
  <c r="E38" i="41"/>
  <c r="G18" i="41"/>
  <c r="Z18" i="41" s="1"/>
  <c r="D19" i="41"/>
  <c r="F43" i="39"/>
  <c r="G17" i="41"/>
  <c r="W17" i="41" s="1"/>
  <c r="E20" i="41"/>
  <c r="G35" i="39"/>
  <c r="BC35" i="39" s="1"/>
  <c r="AA8" i="41"/>
  <c r="BC21" i="39"/>
  <c r="X8" i="41"/>
  <c r="BD21" i="39"/>
  <c r="K28" i="41"/>
  <c r="U40" i="41"/>
  <c r="AQ44" i="39"/>
  <c r="J11" i="41"/>
  <c r="V26" i="41"/>
  <c r="X27" i="41"/>
  <c r="U27" i="41"/>
  <c r="Q28" i="41"/>
  <c r="J26" i="41"/>
  <c r="AO39" i="39"/>
  <c r="AF39" i="39"/>
  <c r="R39" i="39"/>
  <c r="T39" i="39"/>
  <c r="M39" i="39"/>
  <c r="BD25" i="39"/>
  <c r="BD26" i="39"/>
  <c r="AX53" i="39"/>
  <c r="AX63" i="39" s="1"/>
  <c r="AV54" i="39"/>
  <c r="AV64" i="39" s="1"/>
  <c r="AW53" i="39"/>
  <c r="AW63" i="39" s="1"/>
  <c r="AX54" i="39"/>
  <c r="AX64" i="39" s="1"/>
  <c r="AV53" i="39"/>
  <c r="AV63" i="39" s="1"/>
  <c r="AW54" i="39"/>
  <c r="AW64" i="39" s="1"/>
  <c r="Z54" i="39"/>
  <c r="Z64" i="39" s="1"/>
  <c r="X54" i="39"/>
  <c r="X53" i="39"/>
  <c r="Y30" i="41" l="1"/>
  <c r="BE40" i="39"/>
  <c r="P26" i="41"/>
  <c r="Y26" i="41"/>
  <c r="O19" i="41"/>
  <c r="BE37" i="39"/>
  <c r="W14" i="41"/>
  <c r="AK44" i="39"/>
  <c r="BD24" i="39"/>
  <c r="V11" i="41"/>
  <c r="M33" i="41"/>
  <c r="V20" i="41"/>
  <c r="M11" i="41"/>
  <c r="S20" i="41"/>
  <c r="X39" i="41"/>
  <c r="Y33" i="41"/>
  <c r="U31" i="41"/>
  <c r="S22" i="41"/>
  <c r="AA39" i="41"/>
  <c r="BC16" i="39"/>
  <c r="AT44" i="39"/>
  <c r="Z15" i="41"/>
  <c r="V32" i="39"/>
  <c r="Z17" i="41"/>
  <c r="T18" i="41"/>
  <c r="Z23" i="41"/>
  <c r="U37" i="41"/>
  <c r="BD16" i="39"/>
  <c r="I23" i="41"/>
  <c r="Q23" i="41"/>
  <c r="R23" i="41"/>
  <c r="Q11" i="41"/>
  <c r="N11" i="41"/>
  <c r="S16" i="41"/>
  <c r="V16" i="41"/>
  <c r="Z28" i="41"/>
  <c r="S33" i="41"/>
  <c r="T15" i="41"/>
  <c r="X37" i="41"/>
  <c r="O11" i="41"/>
  <c r="Z14" i="41"/>
  <c r="J20" i="41"/>
  <c r="L23" i="41"/>
  <c r="K23" i="41"/>
  <c r="AA20" i="41"/>
  <c r="K11" i="41"/>
  <c r="AA31" i="41"/>
  <c r="Y16" i="41"/>
  <c r="P33" i="41"/>
  <c r="N23" i="41"/>
  <c r="J33" i="41"/>
  <c r="I16" i="41"/>
  <c r="T28" i="41"/>
  <c r="W23" i="41"/>
  <c r="W18" i="41"/>
  <c r="Y11" i="41"/>
  <c r="P20" i="41"/>
  <c r="O23" i="41"/>
  <c r="M20" i="41"/>
  <c r="X20" i="41"/>
  <c r="P11" i="41"/>
  <c r="BC40" i="39"/>
  <c r="T40" i="39" s="1"/>
  <c r="M16" i="41"/>
  <c r="P16" i="41"/>
  <c r="N28" i="41"/>
  <c r="L11" i="41"/>
  <c r="X38" i="39"/>
  <c r="AA40" i="41"/>
  <c r="BE18" i="39"/>
  <c r="U11" i="41"/>
  <c r="K20" i="41"/>
  <c r="O20" i="41"/>
  <c r="I20" i="41"/>
  <c r="V30" i="41"/>
  <c r="AR38" i="39"/>
  <c r="AF38" i="39"/>
  <c r="W44" i="39"/>
  <c r="AJ44" i="39"/>
  <c r="L20" i="41"/>
  <c r="N20" i="41"/>
  <c r="T20" i="41"/>
  <c r="BC25" i="39"/>
  <c r="P30" i="41"/>
  <c r="Q38" i="39"/>
  <c r="Q22" i="41"/>
  <c r="J22" i="41"/>
  <c r="AU44" i="39"/>
  <c r="Z32" i="39"/>
  <c r="I11" i="41"/>
  <c r="AA11" i="41"/>
  <c r="BC18" i="39"/>
  <c r="K22" i="41"/>
  <c r="Q20" i="41"/>
  <c r="M22" i="41"/>
  <c r="BE43" i="39"/>
  <c r="AO42" i="39"/>
  <c r="W20" i="41"/>
  <c r="M30" i="41"/>
  <c r="Y22" i="41"/>
  <c r="S26" i="41"/>
  <c r="S30" i="41"/>
  <c r="BD28" i="39"/>
  <c r="R11" i="41"/>
  <c r="R20" i="41"/>
  <c r="BE25" i="39"/>
  <c r="BE24" i="39"/>
  <c r="AQ24" i="39" s="1"/>
  <c r="P22" i="41"/>
  <c r="Q16" i="41"/>
  <c r="R42" i="39"/>
  <c r="Q13" i="41"/>
  <c r="R44" i="39"/>
  <c r="T32" i="41"/>
  <c r="O44" i="39"/>
  <c r="T32" i="39"/>
  <c r="M38" i="39"/>
  <c r="AL32" i="39"/>
  <c r="AX51" i="39"/>
  <c r="AX61" i="39" s="1"/>
  <c r="Z44" i="39"/>
  <c r="M32" i="39"/>
  <c r="AI32" i="39"/>
  <c r="AE32" i="39"/>
  <c r="AC44" i="39"/>
  <c r="R32" i="39"/>
  <c r="AN44" i="39"/>
  <c r="S32" i="39"/>
  <c r="BE41" i="39"/>
  <c r="AV50" i="39"/>
  <c r="AV60" i="39" s="1"/>
  <c r="AG42" i="39"/>
  <c r="P13" i="41"/>
  <c r="S17" i="41"/>
  <c r="I30" i="41"/>
  <c r="O38" i="41"/>
  <c r="Z42" i="39"/>
  <c r="M13" i="41"/>
  <c r="AP42" i="39"/>
  <c r="R35" i="41"/>
  <c r="AT42" i="39"/>
  <c r="S13" i="41"/>
  <c r="L55" i="31"/>
  <c r="M55" i="31" s="1"/>
  <c r="M67" i="31" s="1"/>
  <c r="U38" i="41"/>
  <c r="I34" i="41"/>
  <c r="AW50" i="39"/>
  <c r="AW60" i="39" s="1"/>
  <c r="BD18" i="39"/>
  <c r="L37" i="41"/>
  <c r="I22" i="41"/>
  <c r="BC13" i="39"/>
  <c r="N16" i="41"/>
  <c r="AA38" i="41"/>
  <c r="S8" i="41"/>
  <c r="J8" i="41"/>
  <c r="O8" i="41"/>
  <c r="M8" i="41"/>
  <c r="V8" i="41"/>
  <c r="P8" i="41"/>
  <c r="T26" i="41"/>
  <c r="Q26" i="41"/>
  <c r="O26" i="41"/>
  <c r="L26" i="41"/>
  <c r="I26" i="41"/>
  <c r="U32" i="41"/>
  <c r="X32" i="41"/>
  <c r="AA32" i="41"/>
  <c r="F40" i="41"/>
  <c r="K40" i="41" s="1"/>
  <c r="Z30" i="41"/>
  <c r="O30" i="41"/>
  <c r="T30" i="41"/>
  <c r="N30" i="41"/>
  <c r="R30" i="41"/>
  <c r="Q30" i="41"/>
  <c r="I17" i="41"/>
  <c r="J52" i="31"/>
  <c r="J64" i="31" s="1"/>
  <c r="T17" i="41"/>
  <c r="M17" i="41"/>
  <c r="I13" i="41"/>
  <c r="AA34" i="41"/>
  <c r="J19" i="41"/>
  <c r="U35" i="41"/>
  <c r="M19" i="41"/>
  <c r="BC29" i="39"/>
  <c r="J38" i="41"/>
  <c r="L38" i="41"/>
  <c r="Y38" i="41"/>
  <c r="M38" i="41"/>
  <c r="Q38" i="41"/>
  <c r="N38" i="41"/>
  <c r="H28" i="41"/>
  <c r="BC34" i="39"/>
  <c r="BD34" i="39"/>
  <c r="Y38" i="39"/>
  <c r="AN38" i="39"/>
  <c r="O38" i="39"/>
  <c r="AC38" i="39"/>
  <c r="V38" i="39"/>
  <c r="AE38" i="39"/>
  <c r="W38" i="39"/>
  <c r="T38" i="39"/>
  <c r="N38" i="39"/>
  <c r="AM38" i="39"/>
  <c r="AI38" i="39"/>
  <c r="AO38" i="39"/>
  <c r="AU38" i="39"/>
  <c r="AD38" i="39"/>
  <c r="AH38" i="39"/>
  <c r="Z38" i="39"/>
  <c r="R38" i="39"/>
  <c r="S38" i="39"/>
  <c r="AK38" i="39"/>
  <c r="AQ38" i="39"/>
  <c r="AJ38" i="39"/>
  <c r="AA38" i="39"/>
  <c r="F15" i="41"/>
  <c r="V15" i="41" s="1"/>
  <c r="F32" i="41"/>
  <c r="BC37" i="39"/>
  <c r="AT37" i="39" s="1"/>
  <c r="F31" i="41"/>
  <c r="O35" i="41"/>
  <c r="L35" i="41"/>
  <c r="F14" i="41"/>
  <c r="G10" i="41"/>
  <c r="AH42" i="39"/>
  <c r="AB42" i="39"/>
  <c r="N42" i="39"/>
  <c r="X42" i="39"/>
  <c r="P42" i="39"/>
  <c r="AI42" i="39"/>
  <c r="V42" i="39"/>
  <c r="Q42" i="39"/>
  <c r="W42" i="39"/>
  <c r="AN42" i="39"/>
  <c r="AA42" i="39"/>
  <c r="AD42" i="39"/>
  <c r="BE23" i="39"/>
  <c r="BC23" i="39"/>
  <c r="BD23" i="39"/>
  <c r="BC12" i="39"/>
  <c r="L54" i="31"/>
  <c r="M54" i="31" s="1"/>
  <c r="M66" i="31" s="1"/>
  <c r="BE12" i="39"/>
  <c r="AJ42" i="39"/>
  <c r="V13" i="41"/>
  <c r="Z26" i="41"/>
  <c r="K30" i="41"/>
  <c r="AX94" i="39"/>
  <c r="AX50" i="39"/>
  <c r="AX60" i="39" s="1"/>
  <c r="AQ15" i="39"/>
  <c r="AR42" i="39"/>
  <c r="BD30" i="39"/>
  <c r="AS42" i="39"/>
  <c r="K51" i="31"/>
  <c r="K63" i="31" s="1"/>
  <c r="U22" i="41"/>
  <c r="T42" i="39"/>
  <c r="AU42" i="39"/>
  <c r="N13" i="41"/>
  <c r="K17" i="41"/>
  <c r="R13" i="41"/>
  <c r="K52" i="31"/>
  <c r="K64" i="31" s="1"/>
  <c r="AQ42" i="39"/>
  <c r="V44" i="39"/>
  <c r="AK42" i="39"/>
  <c r="AE42" i="39"/>
  <c r="V38" i="41"/>
  <c r="Z32" i="41"/>
  <c r="AA32" i="39"/>
  <c r="AU32" i="39"/>
  <c r="M42" i="39"/>
  <c r="L44" i="39"/>
  <c r="X35" i="41"/>
  <c r="AH32" i="39"/>
  <c r="O13" i="41"/>
  <c r="AP38" i="39"/>
  <c r="AL38" i="39"/>
  <c r="Y8" i="41"/>
  <c r="N32" i="39"/>
  <c r="I35" i="41"/>
  <c r="AG38" i="39"/>
  <c r="K38" i="41"/>
  <c r="L38" i="39"/>
  <c r="N8" i="41"/>
  <c r="L22" i="41"/>
  <c r="BE29" i="39"/>
  <c r="K8" i="41"/>
  <c r="U38" i="39"/>
  <c r="BE30" i="39"/>
  <c r="U34" i="41"/>
  <c r="O34" i="41"/>
  <c r="X34" i="41"/>
  <c r="L34" i="41"/>
  <c r="Q19" i="41"/>
  <c r="R19" i="41"/>
  <c r="N19" i="41"/>
  <c r="Y19" i="41"/>
  <c r="I19" i="41"/>
  <c r="L19" i="41"/>
  <c r="V19" i="41"/>
  <c r="K19" i="41"/>
  <c r="Z13" i="41"/>
  <c r="T13" i="41"/>
  <c r="G33" i="41"/>
  <c r="K33" i="41" s="1"/>
  <c r="X30" i="41"/>
  <c r="AA30" i="41"/>
  <c r="AW94" i="39"/>
  <c r="P19" i="41"/>
  <c r="J51" i="31"/>
  <c r="K13" i="41"/>
  <c r="L30" i="41"/>
  <c r="AC42" i="39"/>
  <c r="S19" i="41"/>
  <c r="K16" i="41"/>
  <c r="O16" i="41"/>
  <c r="L16" i="41"/>
  <c r="T16" i="41"/>
  <c r="BC41" i="39"/>
  <c r="AT32" i="39"/>
  <c r="AS32" i="39"/>
  <c r="L32" i="39"/>
  <c r="AM32" i="39"/>
  <c r="O32" i="39"/>
  <c r="AB32" i="39"/>
  <c r="U32" i="39"/>
  <c r="Y32" i="39"/>
  <c r="Q32" i="39"/>
  <c r="AR32" i="39"/>
  <c r="X32" i="39"/>
  <c r="AJ32" i="39"/>
  <c r="AO32" i="39"/>
  <c r="AD32" i="39"/>
  <c r="AP32" i="39"/>
  <c r="AC32" i="39"/>
  <c r="P32" i="39"/>
  <c r="AK32" i="39"/>
  <c r="W32" i="39"/>
  <c r="O37" i="41"/>
  <c r="R37" i="41"/>
  <c r="AI44" i="39"/>
  <c r="Q44" i="39"/>
  <c r="AA44" i="39"/>
  <c r="AG44" i="39"/>
  <c r="AH44" i="39"/>
  <c r="AS44" i="39"/>
  <c r="N44" i="39"/>
  <c r="AM44" i="39"/>
  <c r="AR44" i="39"/>
  <c r="P44" i="39"/>
  <c r="AF44" i="39"/>
  <c r="X44" i="39"/>
  <c r="M44" i="39"/>
  <c r="AE44" i="39"/>
  <c r="U44" i="39"/>
  <c r="AP44" i="39"/>
  <c r="AV88" i="39"/>
  <c r="AW88" i="39"/>
  <c r="AX88" i="39"/>
  <c r="AW51" i="39"/>
  <c r="AW61" i="39" s="1"/>
  <c r="O42" i="39"/>
  <c r="L42" i="39"/>
  <c r="AO44" i="39"/>
  <c r="R26" i="41"/>
  <c r="AF42" i="39"/>
  <c r="Y13" i="41"/>
  <c r="N17" i="41"/>
  <c r="L13" i="41"/>
  <c r="W26" i="41"/>
  <c r="N26" i="41"/>
  <c r="K26" i="41"/>
  <c r="AL42" i="39"/>
  <c r="V17" i="41"/>
  <c r="S42" i="39"/>
  <c r="T44" i="39"/>
  <c r="Y42" i="39"/>
  <c r="S44" i="39"/>
  <c r="AF32" i="39"/>
  <c r="U42" i="39"/>
  <c r="AB44" i="39"/>
  <c r="S38" i="41"/>
  <c r="Y44" i="39"/>
  <c r="AQ32" i="39"/>
  <c r="AL44" i="39"/>
  <c r="R16" i="41"/>
  <c r="AT38" i="39"/>
  <c r="Q8" i="41"/>
  <c r="AN32" i="39"/>
  <c r="R8" i="41"/>
  <c r="L8" i="41"/>
  <c r="AS38" i="39"/>
  <c r="AB38" i="39"/>
  <c r="I37" i="41"/>
  <c r="O22" i="41"/>
  <c r="R22" i="41"/>
  <c r="R38" i="41"/>
  <c r="U30" i="41"/>
  <c r="Q17" i="41"/>
  <c r="BE28" i="39"/>
  <c r="BC14" i="39"/>
  <c r="R34" i="41"/>
  <c r="N22" i="41"/>
  <c r="Z27" i="41"/>
  <c r="T27" i="41"/>
  <c r="Z38" i="41"/>
  <c r="T38" i="41"/>
  <c r="W38" i="41"/>
  <c r="Y17" i="41"/>
  <c r="J17" i="41"/>
  <c r="O17" i="41"/>
  <c r="L17" i="41"/>
  <c r="R17" i="41"/>
  <c r="Z36" i="41"/>
  <c r="W36" i="41"/>
  <c r="T36" i="41"/>
  <c r="T21" i="41"/>
  <c r="W21" i="41"/>
  <c r="BD14" i="39"/>
  <c r="BE14" i="39"/>
  <c r="J40" i="41"/>
  <c r="X18" i="41"/>
  <c r="U18" i="41"/>
  <c r="AA18" i="41"/>
  <c r="F24" i="41"/>
  <c r="N15" i="39"/>
  <c r="L15" i="39"/>
  <c r="AT15" i="39"/>
  <c r="AU15" i="39"/>
  <c r="AL15" i="39"/>
  <c r="AA15" i="39"/>
  <c r="W15" i="39"/>
  <c r="AJ15" i="39"/>
  <c r="O15" i="39"/>
  <c r="Q15" i="39"/>
  <c r="AS15" i="39"/>
  <c r="AI15" i="39"/>
  <c r="AE15" i="39"/>
  <c r="AH15" i="39"/>
  <c r="AK15" i="39"/>
  <c r="U15" i="39"/>
  <c r="S15" i="39"/>
  <c r="AM15" i="39"/>
  <c r="T15" i="39"/>
  <c r="AP15" i="39"/>
  <c r="V15" i="39"/>
  <c r="AB15" i="39"/>
  <c r="AG15" i="39"/>
  <c r="Y15" i="39"/>
  <c r="M15" i="39"/>
  <c r="AR15" i="39"/>
  <c r="R15" i="39"/>
  <c r="AC15" i="39"/>
  <c r="Z15" i="39"/>
  <c r="AD15" i="39"/>
  <c r="AF15" i="39"/>
  <c r="X15" i="39"/>
  <c r="P15" i="39"/>
  <c r="AO15" i="39"/>
  <c r="F18" i="41"/>
  <c r="Z37" i="41"/>
  <c r="T37" i="41"/>
  <c r="W37" i="41"/>
  <c r="BD22" i="39"/>
  <c r="BE22" i="39"/>
  <c r="BD35" i="39"/>
  <c r="BE35" i="39"/>
  <c r="Z16" i="41"/>
  <c r="W16" i="41"/>
  <c r="AA17" i="41"/>
  <c r="X17" i="41"/>
  <c r="U17" i="41"/>
  <c r="BE34" i="39"/>
  <c r="BC20" i="39"/>
  <c r="BE20" i="39"/>
  <c r="BD20" i="39"/>
  <c r="BD36" i="39"/>
  <c r="BC36" i="39"/>
  <c r="U36" i="41"/>
  <c r="X36" i="41"/>
  <c r="AA36" i="41"/>
  <c r="Y37" i="41"/>
  <c r="N37" i="41"/>
  <c r="V37" i="41"/>
  <c r="P37" i="41"/>
  <c r="Q37" i="41"/>
  <c r="M37" i="41"/>
  <c r="J37" i="41"/>
  <c r="S37" i="41"/>
  <c r="K37" i="41"/>
  <c r="X22" i="41"/>
  <c r="AA22" i="41"/>
  <c r="F36" i="41"/>
  <c r="M35" i="41"/>
  <c r="Q35" i="41"/>
  <c r="P35" i="41"/>
  <c r="Y35" i="41"/>
  <c r="N35" i="41"/>
  <c r="J35" i="41"/>
  <c r="K35" i="41"/>
  <c r="S35" i="41"/>
  <c r="V35" i="41"/>
  <c r="U16" i="41"/>
  <c r="X16" i="41"/>
  <c r="AA16" i="41"/>
  <c r="M14" i="41"/>
  <c r="P14" i="41"/>
  <c r="V14" i="41"/>
  <c r="J14" i="41"/>
  <c r="Y14" i="41"/>
  <c r="S14" i="41"/>
  <c r="I38" i="41"/>
  <c r="Z34" i="41"/>
  <c r="T34" i="41"/>
  <c r="W34" i="41"/>
  <c r="Z27" i="39"/>
  <c r="AQ27" i="39"/>
  <c r="N27" i="39"/>
  <c r="W27" i="39"/>
  <c r="O27" i="39"/>
  <c r="AM27" i="39"/>
  <c r="AF27" i="39"/>
  <c r="Q27" i="39"/>
  <c r="AB27" i="39"/>
  <c r="T27" i="39"/>
  <c r="AT27" i="39"/>
  <c r="L27" i="39"/>
  <c r="AS27" i="39"/>
  <c r="AU27" i="39"/>
  <c r="S27" i="39"/>
  <c r="AO27" i="39"/>
  <c r="AE27" i="39"/>
  <c r="R27" i="39"/>
  <c r="U27" i="39"/>
  <c r="AN27" i="39"/>
  <c r="Y27" i="39"/>
  <c r="AD27" i="39"/>
  <c r="AK27" i="39"/>
  <c r="AH27" i="39"/>
  <c r="X27" i="39"/>
  <c r="V27" i="39"/>
  <c r="AP27" i="39"/>
  <c r="AL27" i="39"/>
  <c r="AI27" i="39"/>
  <c r="AR27" i="39"/>
  <c r="AG27" i="39"/>
  <c r="P27" i="39"/>
  <c r="AA27" i="39"/>
  <c r="AJ27" i="39"/>
  <c r="M27" i="39"/>
  <c r="AC27" i="39"/>
  <c r="BD43" i="39"/>
  <c r="BC43" i="39"/>
  <c r="P10" i="41"/>
  <c r="Y10" i="41"/>
  <c r="S10" i="41"/>
  <c r="V10" i="41"/>
  <c r="M10" i="41"/>
  <c r="J10" i="41"/>
  <c r="X24" i="41"/>
  <c r="AA24" i="41"/>
  <c r="U24" i="41"/>
  <c r="BE26" i="39"/>
  <c r="N39" i="39"/>
  <c r="AT39" i="39"/>
  <c r="AP39" i="39"/>
  <c r="P39" i="39"/>
  <c r="AN39" i="39"/>
  <c r="O39" i="39"/>
  <c r="AD39" i="39"/>
  <c r="L39" i="39"/>
  <c r="AL39" i="39"/>
  <c r="AQ39" i="39"/>
  <c r="Q39" i="39"/>
  <c r="AG39" i="39"/>
  <c r="AE39" i="39"/>
  <c r="AH39" i="39"/>
  <c r="AU39" i="39"/>
  <c r="AC39" i="39"/>
  <c r="AK39" i="39"/>
  <c r="AA39" i="39"/>
  <c r="W39" i="39"/>
  <c r="AI39" i="39"/>
  <c r="Z39" i="39"/>
  <c r="AR39" i="39"/>
  <c r="U39" i="39"/>
  <c r="AS39" i="39"/>
  <c r="Y39" i="39"/>
  <c r="S39" i="39"/>
  <c r="X39" i="39"/>
  <c r="AJ39" i="39"/>
  <c r="AM39" i="39"/>
  <c r="AB39" i="39"/>
  <c r="AL64" i="31"/>
  <c r="L52" i="31"/>
  <c r="L64" i="31" s="1"/>
  <c r="J28" i="41"/>
  <c r="P28" i="41"/>
  <c r="V28" i="41"/>
  <c r="M28" i="41"/>
  <c r="S28" i="41"/>
  <c r="Y28" i="41"/>
  <c r="T19" i="41"/>
  <c r="Z19" i="41"/>
  <c r="W19" i="41"/>
  <c r="Y34" i="41"/>
  <c r="P34" i="41"/>
  <c r="M34" i="41"/>
  <c r="S34" i="41"/>
  <c r="V34" i="41"/>
  <c r="J34" i="41"/>
  <c r="K34" i="41"/>
  <c r="Q34" i="41"/>
  <c r="N34" i="41"/>
  <c r="U15" i="41"/>
  <c r="X15" i="41"/>
  <c r="AA15" i="41"/>
  <c r="AA26" i="41"/>
  <c r="X26" i="41"/>
  <c r="U26" i="41"/>
  <c r="T35" i="41"/>
  <c r="Z35" i="41"/>
  <c r="W35" i="41"/>
  <c r="X33" i="41"/>
  <c r="U33" i="41"/>
  <c r="AA33" i="41"/>
  <c r="Z8" i="41"/>
  <c r="T8" i="41"/>
  <c r="W8" i="41"/>
  <c r="U21" i="41"/>
  <c r="X21" i="41"/>
  <c r="AA21" i="41"/>
  <c r="P23" i="41"/>
  <c r="V23" i="41"/>
  <c r="Y23" i="41"/>
  <c r="M23" i="41"/>
  <c r="S23" i="41"/>
  <c r="J23" i="41"/>
  <c r="U10" i="41"/>
  <c r="X10" i="41"/>
  <c r="BE16" i="39"/>
  <c r="T22" i="41"/>
  <c r="W22" i="41"/>
  <c r="Z22" i="41"/>
  <c r="U13" i="41"/>
  <c r="AA13" i="41"/>
  <c r="X13" i="41"/>
  <c r="X23" i="41"/>
  <c r="AA23" i="41"/>
  <c r="T39" i="41"/>
  <c r="Z39" i="41"/>
  <c r="W39" i="41"/>
  <c r="F21" i="41"/>
  <c r="BC17" i="39"/>
  <c r="BD17" i="39"/>
  <c r="BE17" i="39"/>
  <c r="W11" i="41"/>
  <c r="T11" i="41"/>
  <c r="AL63" i="31"/>
  <c r="L51" i="31"/>
  <c r="L63" i="31" s="1"/>
  <c r="BD45" i="39"/>
  <c r="F39" i="41"/>
  <c r="T31" i="41"/>
  <c r="Z31" i="41"/>
  <c r="W31" i="41"/>
  <c r="BD13" i="39"/>
  <c r="BE13" i="39"/>
  <c r="X14" i="41"/>
  <c r="AA14" i="41"/>
  <c r="U14" i="41"/>
  <c r="AA19" i="41"/>
  <c r="X19" i="41"/>
  <c r="U19" i="41"/>
  <c r="F27" i="41"/>
  <c r="AE19" i="39"/>
  <c r="W19" i="39"/>
  <c r="AM19" i="39"/>
  <c r="T19" i="39"/>
  <c r="Q19" i="39"/>
  <c r="Y19" i="39"/>
  <c r="AA19" i="39"/>
  <c r="S19" i="39"/>
  <c r="AD19" i="39"/>
  <c r="AK19" i="39"/>
  <c r="AR19" i="39"/>
  <c r="AF19" i="39"/>
  <c r="X19" i="39"/>
  <c r="U19" i="39"/>
  <c r="AQ19" i="39"/>
  <c r="AU19" i="39"/>
  <c r="AJ19" i="39"/>
  <c r="O19" i="39"/>
  <c r="AO19" i="39"/>
  <c r="R19" i="39"/>
  <c r="AG19" i="39"/>
  <c r="Z19" i="39"/>
  <c r="V19" i="39"/>
  <c r="AN19" i="39"/>
  <c r="AP19" i="39"/>
  <c r="AB19" i="39"/>
  <c r="AC19" i="39"/>
  <c r="L19" i="39"/>
  <c r="M19" i="39"/>
  <c r="AI19" i="39"/>
  <c r="P19" i="39"/>
  <c r="AL19" i="39"/>
  <c r="AH19" i="39"/>
  <c r="N19" i="39"/>
  <c r="AT19" i="39"/>
  <c r="AS19" i="39"/>
  <c r="BC33" i="39"/>
  <c r="BD33" i="39"/>
  <c r="Q31" i="39"/>
  <c r="AB31" i="39"/>
  <c r="AU31" i="39"/>
  <c r="U31" i="39"/>
  <c r="AG31" i="39"/>
  <c r="AK31" i="39"/>
  <c r="AN31" i="39"/>
  <c r="AA31" i="39"/>
  <c r="AM31" i="39"/>
  <c r="X31" i="39"/>
  <c r="R31" i="39"/>
  <c r="M31" i="39"/>
  <c r="AL31" i="39"/>
  <c r="AS31" i="39"/>
  <c r="L31" i="39"/>
  <c r="AI31" i="39"/>
  <c r="W31" i="39"/>
  <c r="Y31" i="39"/>
  <c r="AR31" i="39"/>
  <c r="AC31" i="39"/>
  <c r="AE31" i="39"/>
  <c r="AJ31" i="39"/>
  <c r="AT31" i="39"/>
  <c r="V31" i="39"/>
  <c r="AF31" i="39"/>
  <c r="AO31" i="39"/>
  <c r="Z31" i="39"/>
  <c r="P31" i="39"/>
  <c r="AQ31" i="39"/>
  <c r="AH31" i="39"/>
  <c r="AD31" i="39"/>
  <c r="O31" i="39"/>
  <c r="AP31" i="39"/>
  <c r="T31" i="39"/>
  <c r="S31" i="39"/>
  <c r="N31" i="39"/>
  <c r="Z40" i="41"/>
  <c r="T40" i="41"/>
  <c r="W40" i="41"/>
  <c r="Z24" i="41"/>
  <c r="W24" i="41"/>
  <c r="T24" i="41"/>
  <c r="M21" i="39"/>
  <c r="AK21" i="39"/>
  <c r="AQ21" i="39"/>
  <c r="AH21" i="39"/>
  <c r="AL21" i="39"/>
  <c r="AU21" i="39"/>
  <c r="AN21" i="39"/>
  <c r="AO21" i="39"/>
  <c r="AB21" i="39"/>
  <c r="N21" i="39"/>
  <c r="Y21" i="39"/>
  <c r="Y54" i="39" s="1"/>
  <c r="Y64" i="39" s="1"/>
  <c r="AC21" i="39"/>
  <c r="AM21" i="39"/>
  <c r="AT21" i="39"/>
  <c r="Z21" i="39"/>
  <c r="W21" i="39"/>
  <c r="AG21" i="39"/>
  <c r="V21" i="39"/>
  <c r="AF21" i="39"/>
  <c r="S21" i="39"/>
  <c r="AR21" i="39"/>
  <c r="AE21" i="39"/>
  <c r="T21" i="39"/>
  <c r="AJ21" i="39"/>
  <c r="U21" i="39"/>
  <c r="AP21" i="39"/>
  <c r="X21" i="39"/>
  <c r="AD21" i="39"/>
  <c r="P21" i="39"/>
  <c r="AI21" i="39"/>
  <c r="AA21" i="39"/>
  <c r="AS21" i="39"/>
  <c r="Q21" i="39"/>
  <c r="O21" i="39"/>
  <c r="L21" i="39"/>
  <c r="R21" i="39"/>
  <c r="L66" i="31"/>
  <c r="L24" i="39"/>
  <c r="AF24" i="39"/>
  <c r="AS24" i="39"/>
  <c r="AU24" i="39"/>
  <c r="R24" i="39"/>
  <c r="S24" i="39"/>
  <c r="AF25" i="39"/>
  <c r="X25" i="39"/>
  <c r="AC24" i="39"/>
  <c r="AW12" i="39"/>
  <c r="AX12" i="39"/>
  <c r="AV12" i="39"/>
  <c r="X63" i="39"/>
  <c r="X64" i="39"/>
  <c r="L64" i="39"/>
  <c r="AB24" i="39" l="1"/>
  <c r="AN24" i="39"/>
  <c r="X24" i="39"/>
  <c r="AP24" i="39"/>
  <c r="AH24" i="39"/>
  <c r="AD24" i="39"/>
  <c r="AG24" i="39"/>
  <c r="AE24" i="39"/>
  <c r="T24" i="39"/>
  <c r="Q24" i="39"/>
  <c r="AM24" i="39"/>
  <c r="AM40" i="39"/>
  <c r="P24" i="39"/>
  <c r="M24" i="39"/>
  <c r="AT24" i="39"/>
  <c r="Z24" i="39"/>
  <c r="AO24" i="39"/>
  <c r="O24" i="39"/>
  <c r="U24" i="39"/>
  <c r="AL24" i="39"/>
  <c r="W24" i="39"/>
  <c r="AA24" i="39"/>
  <c r="V24" i="39"/>
  <c r="AK24" i="39"/>
  <c r="Y24" i="39"/>
  <c r="AJ24" i="39"/>
  <c r="N24" i="39"/>
  <c r="AI24" i="39"/>
  <c r="AR24" i="39"/>
  <c r="AT16" i="39"/>
  <c r="Y16" i="39"/>
  <c r="AJ43" i="39"/>
  <c r="AS40" i="39"/>
  <c r="Y40" i="39"/>
  <c r="AG40" i="39"/>
  <c r="AO40" i="39"/>
  <c r="AE40" i="39"/>
  <c r="R40" i="39"/>
  <c r="P40" i="39"/>
  <c r="AK40" i="39"/>
  <c r="AI40" i="39"/>
  <c r="Q40" i="39"/>
  <c r="L40" i="39"/>
  <c r="U40" i="39"/>
  <c r="AA40" i="39"/>
  <c r="S40" i="39"/>
  <c r="W40" i="39"/>
  <c r="AM23" i="39"/>
  <c r="S40" i="41"/>
  <c r="R25" i="39"/>
  <c r="AU40" i="39"/>
  <c r="O18" i="39"/>
  <c r="U25" i="39"/>
  <c r="AC18" i="39"/>
  <c r="M25" i="39"/>
  <c r="AB45" i="39"/>
  <c r="U33" i="39"/>
  <c r="AS41" i="39"/>
  <c r="AR37" i="39"/>
  <c r="M43" i="39"/>
  <c r="W25" i="39"/>
  <c r="AS30" i="39"/>
  <c r="AM18" i="39"/>
  <c r="Q28" i="39"/>
  <c r="AP40" i="39"/>
  <c r="V25" i="39"/>
  <c r="AP30" i="39"/>
  <c r="AO30" i="39"/>
  <c r="AQ30" i="39"/>
  <c r="W18" i="39"/>
  <c r="AE25" i="39"/>
  <c r="AQ40" i="39"/>
  <c r="AB40" i="39"/>
  <c r="AL40" i="39"/>
  <c r="AF40" i="39"/>
  <c r="N40" i="39"/>
  <c r="Z40" i="39"/>
  <c r="X40" i="39"/>
  <c r="AT40" i="39"/>
  <c r="AN40" i="39"/>
  <c r="M40" i="39"/>
  <c r="AR28" i="39"/>
  <c r="R30" i="39"/>
  <c r="W30" i="39"/>
  <c r="N33" i="39"/>
  <c r="Q25" i="39"/>
  <c r="AA25" i="39"/>
  <c r="AD40" i="39"/>
  <c r="AJ40" i="39"/>
  <c r="AH40" i="39"/>
  <c r="AC40" i="39"/>
  <c r="AR40" i="39"/>
  <c r="O40" i="39"/>
  <c r="V40" i="39"/>
  <c r="I42" i="39"/>
  <c r="S23" i="39"/>
  <c r="AC41" i="39"/>
  <c r="M15" i="41"/>
  <c r="AS16" i="39"/>
  <c r="AD37" i="39"/>
  <c r="AQ23" i="39"/>
  <c r="AD34" i="39"/>
  <c r="AT33" i="39"/>
  <c r="AQ45" i="39"/>
  <c r="AO43" i="39"/>
  <c r="Z45" i="39"/>
  <c r="R23" i="39"/>
  <c r="AP28" i="39"/>
  <c r="AC28" i="39"/>
  <c r="AK43" i="39"/>
  <c r="U28" i="39"/>
  <c r="AR45" i="39"/>
  <c r="V23" i="39"/>
  <c r="AU45" i="39"/>
  <c r="AQ28" i="39"/>
  <c r="AH23" i="39"/>
  <c r="L28" i="39"/>
  <c r="AB37" i="39"/>
  <c r="L67" i="31"/>
  <c r="R41" i="39"/>
  <c r="AP41" i="39"/>
  <c r="AM26" i="39"/>
  <c r="P15" i="41"/>
  <c r="Y15" i="41"/>
  <c r="AH45" i="39"/>
  <c r="P23" i="39"/>
  <c r="AE43" i="39"/>
  <c r="W37" i="39"/>
  <c r="W33" i="39"/>
  <c r="AF33" i="39"/>
  <c r="AG23" i="39"/>
  <c r="Z34" i="39"/>
  <c r="V28" i="39"/>
  <c r="AN43" i="39"/>
  <c r="AM37" i="39"/>
  <c r="AF37" i="39"/>
  <c r="J15" i="41"/>
  <c r="S15" i="41"/>
  <c r="AB23" i="39"/>
  <c r="Q33" i="39"/>
  <c r="AP18" i="39"/>
  <c r="AK35" i="39"/>
  <c r="AS33" i="39"/>
  <c r="T30" i="39"/>
  <c r="AF18" i="39"/>
  <c r="S28" i="39"/>
  <c r="AM41" i="39"/>
  <c r="N30" i="39"/>
  <c r="AE23" i="39"/>
  <c r="Z37" i="39"/>
  <c r="U34" i="39"/>
  <c r="AG25" i="39"/>
  <c r="P30" i="39"/>
  <c r="AU25" i="39"/>
  <c r="AM28" i="39"/>
  <c r="N25" i="39"/>
  <c r="AF28" i="39"/>
  <c r="AA28" i="39"/>
  <c r="AN30" i="39"/>
  <c r="AT28" i="39"/>
  <c r="P25" i="39"/>
  <c r="X28" i="39"/>
  <c r="AS18" i="39"/>
  <c r="AQ25" i="39"/>
  <c r="AS25" i="39"/>
  <c r="AI28" i="39"/>
  <c r="AH18" i="39"/>
  <c r="AJ18" i="39"/>
  <c r="N16" i="39"/>
  <c r="AB25" i="39"/>
  <c r="AG33" i="39"/>
  <c r="O45" i="39"/>
  <c r="AN23" i="39"/>
  <c r="AA23" i="39"/>
  <c r="AN28" i="39"/>
  <c r="AM16" i="39"/>
  <c r="O25" i="39"/>
  <c r="T25" i="39"/>
  <c r="AT25" i="39"/>
  <c r="S25" i="39"/>
  <c r="R28" i="39"/>
  <c r="AG28" i="39"/>
  <c r="AF30" i="39"/>
  <c r="AI30" i="39"/>
  <c r="T18" i="39"/>
  <c r="AO18" i="39"/>
  <c r="AB43" i="39"/>
  <c r="N28" i="39"/>
  <c r="AS28" i="39"/>
  <c r="AO25" i="39"/>
  <c r="O28" i="39"/>
  <c r="AO37" i="39"/>
  <c r="AG41" i="39"/>
  <c r="AN41" i="39"/>
  <c r="S41" i="39"/>
  <c r="AC25" i="39"/>
  <c r="Z25" i="39"/>
  <c r="AR25" i="39"/>
  <c r="AE28" i="39"/>
  <c r="Y28" i="39"/>
  <c r="AP25" i="39"/>
  <c r="AK28" i="39"/>
  <c r="S16" i="39"/>
  <c r="AL16" i="39"/>
  <c r="M33" i="39"/>
  <c r="T33" i="39"/>
  <c r="AS23" i="39"/>
  <c r="AT23" i="39"/>
  <c r="AG43" i="39"/>
  <c r="AH25" i="39"/>
  <c r="AK25" i="39"/>
  <c r="T28" i="39"/>
  <c r="AL28" i="39"/>
  <c r="Z28" i="39"/>
  <c r="M30" i="39"/>
  <c r="AD28" i="39"/>
  <c r="X30" i="39"/>
  <c r="AM25" i="39"/>
  <c r="AD23" i="39"/>
  <c r="X18" i="39"/>
  <c r="P28" i="39"/>
  <c r="U16" i="39"/>
  <c r="Z33" i="39"/>
  <c r="P33" i="39"/>
  <c r="T45" i="39"/>
  <c r="AT45" i="39"/>
  <c r="AO23" i="39"/>
  <c r="AP43" i="39"/>
  <c r="AA30" i="39"/>
  <c r="AQ16" i="39"/>
  <c r="L30" i="39"/>
  <c r="AJ25" i="39"/>
  <c r="AL25" i="39"/>
  <c r="AN25" i="39"/>
  <c r="Y25" i="39"/>
  <c r="AD25" i="39"/>
  <c r="AI25" i="39"/>
  <c r="W28" i="39"/>
  <c r="AJ28" i="39"/>
  <c r="AH28" i="39"/>
  <c r="AU28" i="39"/>
  <c r="AB28" i="39"/>
  <c r="AL30" i="39"/>
  <c r="AM30" i="39"/>
  <c r="AK23" i="39"/>
  <c r="AO28" i="39"/>
  <c r="AD43" i="39"/>
  <c r="AF23" i="39"/>
  <c r="M28" i="39"/>
  <c r="AB18" i="39"/>
  <c r="N18" i="39"/>
  <c r="AF43" i="39"/>
  <c r="L25" i="39"/>
  <c r="AF16" i="39"/>
  <c r="AC37" i="39"/>
  <c r="T37" i="39"/>
  <c r="AO41" i="39"/>
  <c r="AA41" i="39"/>
  <c r="AL34" i="39"/>
  <c r="V40" i="41"/>
  <c r="AE22" i="39"/>
  <c r="AH16" i="39"/>
  <c r="AB16" i="39"/>
  <c r="AU16" i="39"/>
  <c r="AN16" i="39"/>
  <c r="AG16" i="39"/>
  <c r="AC16" i="39"/>
  <c r="W16" i="39"/>
  <c r="R16" i="39"/>
  <c r="AA16" i="39"/>
  <c r="AE18" i="39"/>
  <c r="AJ16" i="39"/>
  <c r="AO16" i="39"/>
  <c r="X16" i="39"/>
  <c r="V16" i="39"/>
  <c r="T16" i="39"/>
  <c r="AE16" i="39"/>
  <c r="AI16" i="39"/>
  <c r="L16" i="39"/>
  <c r="O16" i="39"/>
  <c r="Q16" i="39"/>
  <c r="P16" i="39"/>
  <c r="AD16" i="39"/>
  <c r="Z16" i="39"/>
  <c r="Z53" i="39" s="1"/>
  <c r="Z63" i="39" s="1"/>
  <c r="AK16" i="39"/>
  <c r="AR16" i="39"/>
  <c r="AP16" i="39"/>
  <c r="M16" i="39"/>
  <c r="L26" i="39"/>
  <c r="AE36" i="39"/>
  <c r="AB34" i="39"/>
  <c r="AJ36" i="39"/>
  <c r="P34" i="39"/>
  <c r="N34" i="39"/>
  <c r="N64" i="39" s="1"/>
  <c r="AE26" i="39"/>
  <c r="AA26" i="39"/>
  <c r="AN34" i="39"/>
  <c r="AS34" i="39"/>
  <c r="AR34" i="39"/>
  <c r="M34" i="39"/>
  <c r="M64" i="39" s="1"/>
  <c r="AB33" i="39"/>
  <c r="AS45" i="39"/>
  <c r="V26" i="39"/>
  <c r="AG35" i="39"/>
  <c r="H44" i="39"/>
  <c r="I44" i="39"/>
  <c r="L41" i="39"/>
  <c r="AG30" i="39"/>
  <c r="AL23" i="39"/>
  <c r="S37" i="39"/>
  <c r="Q34" i="39"/>
  <c r="AU23" i="39"/>
  <c r="AP23" i="39"/>
  <c r="W23" i="39"/>
  <c r="Q23" i="39"/>
  <c r="AC34" i="39"/>
  <c r="R18" i="39"/>
  <c r="AR30" i="39"/>
  <c r="AC30" i="39"/>
  <c r="Y30" i="39"/>
  <c r="O30" i="39"/>
  <c r="AE30" i="39"/>
  <c r="AH30" i="39"/>
  <c r="Q30" i="39"/>
  <c r="U18" i="39"/>
  <c r="AK18" i="39"/>
  <c r="AI23" i="39"/>
  <c r="AC23" i="39"/>
  <c r="X23" i="39"/>
  <c r="Y18" i="39"/>
  <c r="AK30" i="39"/>
  <c r="Z18" i="39"/>
  <c r="AA18" i="39"/>
  <c r="AR18" i="39"/>
  <c r="AI18" i="39"/>
  <c r="P18" i="39"/>
  <c r="S30" i="39"/>
  <c r="L23" i="39"/>
  <c r="AT30" i="39"/>
  <c r="AU18" i="39"/>
  <c r="AP34" i="39"/>
  <c r="AU34" i="39"/>
  <c r="AK34" i="39"/>
  <c r="X34" i="39"/>
  <c r="W34" i="39"/>
  <c r="U37" i="39"/>
  <c r="Y37" i="39"/>
  <c r="T26" i="39"/>
  <c r="AQ37" i="39"/>
  <c r="P37" i="39"/>
  <c r="M37" i="39"/>
  <c r="AL26" i="39"/>
  <c r="X37" i="39"/>
  <c r="L37" i="39"/>
  <c r="O37" i="39"/>
  <c r="AN18" i="39"/>
  <c r="AN37" i="39"/>
  <c r="AL37" i="39"/>
  <c r="Y34" i="39"/>
  <c r="W41" i="39"/>
  <c r="AI41" i="39"/>
  <c r="AI34" i="39"/>
  <c r="AB41" i="39"/>
  <c r="Z41" i="39"/>
  <c r="AE41" i="39"/>
  <c r="AJ34" i="39"/>
  <c r="AU41" i="39"/>
  <c r="V41" i="39"/>
  <c r="Y41" i="39"/>
  <c r="R37" i="39"/>
  <c r="AK37" i="39"/>
  <c r="Y40" i="41"/>
  <c r="M40" i="41"/>
  <c r="O23" i="39"/>
  <c r="T23" i="39"/>
  <c r="Y23" i="39"/>
  <c r="AR23" i="39"/>
  <c r="M23" i="39"/>
  <c r="L34" i="39"/>
  <c r="AJ23" i="39"/>
  <c r="L18" i="39"/>
  <c r="V30" i="39"/>
  <c r="AB30" i="39"/>
  <c r="AJ30" i="39"/>
  <c r="Z30" i="39"/>
  <c r="AU30" i="39"/>
  <c r="AL18" i="39"/>
  <c r="S18" i="39"/>
  <c r="N23" i="39"/>
  <c r="Z23" i="39"/>
  <c r="AQ18" i="39"/>
  <c r="U30" i="39"/>
  <c r="Q18" i="39"/>
  <c r="AD18" i="39"/>
  <c r="AT18" i="39"/>
  <c r="AG18" i="39"/>
  <c r="V18" i="39"/>
  <c r="M18" i="39"/>
  <c r="AD30" i="39"/>
  <c r="AA34" i="39"/>
  <c r="R34" i="39"/>
  <c r="AM34" i="39"/>
  <c r="AO34" i="39"/>
  <c r="AF34" i="39"/>
  <c r="V37" i="39"/>
  <c r="AA37" i="39"/>
  <c r="AI37" i="39"/>
  <c r="AE37" i="39"/>
  <c r="N37" i="39"/>
  <c r="AU37" i="39"/>
  <c r="AS37" i="39"/>
  <c r="Q37" i="39"/>
  <c r="S34" i="39"/>
  <c r="P41" i="39"/>
  <c r="AJ41" i="39"/>
  <c r="AF41" i="39"/>
  <c r="M41" i="39"/>
  <c r="AE34" i="39"/>
  <c r="O41" i="39"/>
  <c r="N41" i="39"/>
  <c r="AQ41" i="39"/>
  <c r="AK41" i="39"/>
  <c r="X41" i="39"/>
  <c r="AT34" i="39"/>
  <c r="AR41" i="39"/>
  <c r="AJ37" i="39"/>
  <c r="N40" i="41"/>
  <c r="Q40" i="41"/>
  <c r="V34" i="39"/>
  <c r="O34" i="39"/>
  <c r="U23" i="39"/>
  <c r="AG34" i="39"/>
  <c r="AH34" i="39"/>
  <c r="O26" i="39"/>
  <c r="AH37" i="39"/>
  <c r="AP37" i="39"/>
  <c r="AG37" i="39"/>
  <c r="Q41" i="39"/>
  <c r="AT41" i="39"/>
  <c r="AD41" i="39"/>
  <c r="AQ34" i="39"/>
  <c r="AL41" i="39"/>
  <c r="AH41" i="39"/>
  <c r="U41" i="39"/>
  <c r="T34" i="39"/>
  <c r="T41" i="39"/>
  <c r="P40" i="41"/>
  <c r="J42" i="39"/>
  <c r="AJ26" i="39"/>
  <c r="I32" i="39"/>
  <c r="AU14" i="39"/>
  <c r="H39" i="39"/>
  <c r="J15" i="39"/>
  <c r="J44" i="39"/>
  <c r="J32" i="39"/>
  <c r="H38" i="39"/>
  <c r="I38" i="39"/>
  <c r="H42" i="39"/>
  <c r="U29" i="39"/>
  <c r="V29" i="39"/>
  <c r="AQ29" i="39"/>
  <c r="O29" i="39"/>
  <c r="AR29" i="39"/>
  <c r="AU29" i="39"/>
  <c r="AB29" i="39"/>
  <c r="AJ29" i="39"/>
  <c r="R29" i="39"/>
  <c r="AS29" i="39"/>
  <c r="AH29" i="39"/>
  <c r="L29" i="39"/>
  <c r="AI29" i="39"/>
  <c r="T29" i="39"/>
  <c r="AN29" i="39"/>
  <c r="X29" i="39"/>
  <c r="N29" i="39"/>
  <c r="P29" i="39"/>
  <c r="Y29" i="39"/>
  <c r="AE29" i="39"/>
  <c r="Z29" i="39"/>
  <c r="AM29" i="39"/>
  <c r="S29" i="39"/>
  <c r="AL29" i="39"/>
  <c r="W29" i="39"/>
  <c r="AD29" i="39"/>
  <c r="AO29" i="39"/>
  <c r="AP29" i="39"/>
  <c r="M29" i="39"/>
  <c r="AF29" i="39"/>
  <c r="AC29" i="39"/>
  <c r="AM12" i="39"/>
  <c r="W12" i="39"/>
  <c r="R32" i="41"/>
  <c r="O32" i="41"/>
  <c r="K32" i="41"/>
  <c r="I32" i="41"/>
  <c r="Q32" i="41"/>
  <c r="N32" i="41"/>
  <c r="L32" i="41"/>
  <c r="J32" i="41"/>
  <c r="S32" i="41"/>
  <c r="P32" i="41"/>
  <c r="M32" i="41"/>
  <c r="Y32" i="41"/>
  <c r="AU12" i="39"/>
  <c r="AV22" i="39"/>
  <c r="AV94" i="39" s="1"/>
  <c r="T22" i="39"/>
  <c r="AF22" i="39"/>
  <c r="AB22" i="39"/>
  <c r="L22" i="39"/>
  <c r="AO22" i="39"/>
  <c r="AH22" i="39"/>
  <c r="S22" i="39"/>
  <c r="AS22" i="39"/>
  <c r="AQ22" i="39"/>
  <c r="AG22" i="39"/>
  <c r="AI22" i="39"/>
  <c r="R22" i="39"/>
  <c r="Z22" i="39"/>
  <c r="M22" i="39"/>
  <c r="AD22" i="39"/>
  <c r="X22" i="39"/>
  <c r="AR22" i="39"/>
  <c r="U22" i="39"/>
  <c r="AC22" i="39"/>
  <c r="AJ22" i="39"/>
  <c r="P22" i="39"/>
  <c r="O22" i="39"/>
  <c r="AM22" i="39"/>
  <c r="AK22" i="39"/>
  <c r="W22" i="39"/>
  <c r="N22" i="39"/>
  <c r="H32" i="39"/>
  <c r="J63" i="31"/>
  <c r="M51" i="31"/>
  <c r="M63" i="31" s="1"/>
  <c r="J38" i="39"/>
  <c r="R28" i="41"/>
  <c r="O28" i="41"/>
  <c r="I28" i="41"/>
  <c r="L28" i="41"/>
  <c r="U28" i="41"/>
  <c r="AA28" i="41"/>
  <c r="AG29" i="39"/>
  <c r="AA29" i="39"/>
  <c r="AF36" i="39"/>
  <c r="R36" i="39"/>
  <c r="X36" i="39"/>
  <c r="AL36" i="39"/>
  <c r="V36" i="39"/>
  <c r="P36" i="39"/>
  <c r="AO36" i="39"/>
  <c r="AR36" i="39"/>
  <c r="AP36" i="39"/>
  <c r="W36" i="39"/>
  <c r="AM36" i="39"/>
  <c r="AH36" i="39"/>
  <c r="Q36" i="39"/>
  <c r="M36" i="39"/>
  <c r="U36" i="39"/>
  <c r="AA36" i="39"/>
  <c r="AT36" i="39"/>
  <c r="Y36" i="39"/>
  <c r="AC36" i="39"/>
  <c r="AQ36" i="39"/>
  <c r="AS36" i="39"/>
  <c r="AG36" i="39"/>
  <c r="N36" i="39"/>
  <c r="AK36" i="39"/>
  <c r="Z36" i="39"/>
  <c r="AB36" i="39"/>
  <c r="AI36" i="39"/>
  <c r="S36" i="39"/>
  <c r="L36" i="39"/>
  <c r="X28" i="41"/>
  <c r="O36" i="39"/>
  <c r="AD36" i="39"/>
  <c r="AP22" i="39"/>
  <c r="AM33" i="39"/>
  <c r="L33" i="39"/>
  <c r="AD33" i="39"/>
  <c r="O33" i="39"/>
  <c r="AU33" i="39"/>
  <c r="R33" i="39"/>
  <c r="AK33" i="39"/>
  <c r="AJ33" i="39"/>
  <c r="AC33" i="39"/>
  <c r="AH33" i="39"/>
  <c r="AL33" i="39"/>
  <c r="AI33" i="39"/>
  <c r="AQ33" i="39"/>
  <c r="AN33" i="39"/>
  <c r="AE33" i="39"/>
  <c r="AR33" i="39"/>
  <c r="V33" i="39"/>
  <c r="X33" i="39"/>
  <c r="AA33" i="39"/>
  <c r="W45" i="39"/>
  <c r="V45" i="39"/>
  <c r="M45" i="39"/>
  <c r="AC45" i="39"/>
  <c r="Q45" i="39"/>
  <c r="AM45" i="39"/>
  <c r="P45" i="39"/>
  <c r="AD45" i="39"/>
  <c r="Y45" i="39"/>
  <c r="AN45" i="39"/>
  <c r="AF45" i="39"/>
  <c r="S45" i="39"/>
  <c r="AE45" i="39"/>
  <c r="AK45" i="39"/>
  <c r="AP45" i="39"/>
  <c r="U45" i="39"/>
  <c r="AA45" i="39"/>
  <c r="R45" i="39"/>
  <c r="X45" i="39"/>
  <c r="AL45" i="39"/>
  <c r="AG45" i="39"/>
  <c r="AS26" i="39"/>
  <c r="AR26" i="39"/>
  <c r="Q26" i="39"/>
  <c r="W26" i="39"/>
  <c r="AU26" i="39"/>
  <c r="AH26" i="39"/>
  <c r="AK26" i="39"/>
  <c r="M26" i="39"/>
  <c r="AI26" i="39"/>
  <c r="Z26" i="39"/>
  <c r="AT26" i="39"/>
  <c r="AG26" i="39"/>
  <c r="AN26" i="39"/>
  <c r="AP26" i="39"/>
  <c r="X26" i="39"/>
  <c r="U26" i="39"/>
  <c r="R26" i="39"/>
  <c r="S26" i="39"/>
  <c r="AB26" i="39"/>
  <c r="AD26" i="39"/>
  <c r="AC26" i="39"/>
  <c r="AQ26" i="39"/>
  <c r="AO26" i="39"/>
  <c r="N26" i="39"/>
  <c r="Y26" i="39"/>
  <c r="P26" i="39"/>
  <c r="S43" i="39"/>
  <c r="AH43" i="39"/>
  <c r="N43" i="39"/>
  <c r="AR43" i="39"/>
  <c r="Y43" i="39"/>
  <c r="R43" i="39"/>
  <c r="AU43" i="39"/>
  <c r="V43" i="39"/>
  <c r="T43" i="39"/>
  <c r="U43" i="39"/>
  <c r="AL43" i="39"/>
  <c r="Z43" i="39"/>
  <c r="AM43" i="39"/>
  <c r="AA43" i="39"/>
  <c r="AS43" i="39"/>
  <c r="AQ43" i="39"/>
  <c r="AT43" i="39"/>
  <c r="AC43" i="39"/>
  <c r="X43" i="39"/>
  <c r="Q43" i="39"/>
  <c r="AI43" i="39"/>
  <c r="O43" i="39"/>
  <c r="W43" i="39"/>
  <c r="P43" i="39"/>
  <c r="AS35" i="39"/>
  <c r="V35" i="39"/>
  <c r="AF35" i="39"/>
  <c r="AL35" i="39"/>
  <c r="O35" i="39"/>
  <c r="AT35" i="39"/>
  <c r="AP35" i="39"/>
  <c r="M35" i="39"/>
  <c r="L35" i="39"/>
  <c r="AN35" i="39"/>
  <c r="AE35" i="39"/>
  <c r="AD35" i="39"/>
  <c r="AR35" i="39"/>
  <c r="X35" i="39"/>
  <c r="W35" i="39"/>
  <c r="AB35" i="39"/>
  <c r="P35" i="39"/>
  <c r="AM35" i="39"/>
  <c r="AH35" i="39"/>
  <c r="Y35" i="39"/>
  <c r="U35" i="39"/>
  <c r="S35" i="39"/>
  <c r="AA35" i="39"/>
  <c r="N35" i="39"/>
  <c r="Q35" i="39"/>
  <c r="AO35" i="39"/>
  <c r="AI35" i="39"/>
  <c r="AC35" i="39"/>
  <c r="AT29" i="39"/>
  <c r="Z35" i="39"/>
  <c r="AA22" i="39"/>
  <c r="Y22" i="39"/>
  <c r="AQ35" i="39"/>
  <c r="Q22" i="39"/>
  <c r="T35" i="39"/>
  <c r="AJ35" i="39"/>
  <c r="AT22" i="39"/>
  <c r="S33" i="39"/>
  <c r="AO33" i="39"/>
  <c r="Y33" i="39"/>
  <c r="M52" i="31"/>
  <c r="M64" i="31" s="1"/>
  <c r="AJ45" i="39"/>
  <c r="Q29" i="39"/>
  <c r="AI45" i="39"/>
  <c r="AK29" i="39"/>
  <c r="R35" i="39"/>
  <c r="T36" i="39"/>
  <c r="AU36" i="39"/>
  <c r="AN36" i="39"/>
  <c r="N45" i="39"/>
  <c r="AN22" i="39"/>
  <c r="AL22" i="39"/>
  <c r="AU22" i="39"/>
  <c r="V32" i="41"/>
  <c r="Z10" i="41"/>
  <c r="R10" i="41"/>
  <c r="L10" i="41"/>
  <c r="K10" i="41"/>
  <c r="I10" i="41"/>
  <c r="O10" i="41"/>
  <c r="N10" i="41"/>
  <c r="W10" i="41"/>
  <c r="Q10" i="41"/>
  <c r="T10" i="41"/>
  <c r="L40" i="41"/>
  <c r="O40" i="41"/>
  <c r="R40" i="41"/>
  <c r="I40" i="41"/>
  <c r="Z33" i="41"/>
  <c r="R33" i="41"/>
  <c r="Q33" i="41"/>
  <c r="T33" i="41"/>
  <c r="I33" i="41"/>
  <c r="W33" i="41"/>
  <c r="O33" i="41"/>
  <c r="L33" i="41"/>
  <c r="N33" i="41"/>
  <c r="I15" i="41"/>
  <c r="O15" i="41"/>
  <c r="N15" i="41"/>
  <c r="L15" i="41"/>
  <c r="Q15" i="41"/>
  <c r="R15" i="41"/>
  <c r="K15" i="41"/>
  <c r="I14" i="41"/>
  <c r="N14" i="41"/>
  <c r="L14" i="41"/>
  <c r="R14" i="41"/>
  <c r="O14" i="41"/>
  <c r="K14" i="41"/>
  <c r="Q14" i="41"/>
  <c r="S31" i="41"/>
  <c r="J31" i="41"/>
  <c r="M31" i="41"/>
  <c r="O31" i="41"/>
  <c r="L31" i="41"/>
  <c r="R31" i="41"/>
  <c r="K31" i="41"/>
  <c r="N31" i="41"/>
  <c r="Q31" i="41"/>
  <c r="P31" i="41"/>
  <c r="V31" i="41"/>
  <c r="Y31" i="41"/>
  <c r="I31" i="41"/>
  <c r="AP33" i="39"/>
  <c r="J39" i="39"/>
  <c r="AV51" i="39"/>
  <c r="AV61" i="39" s="1"/>
  <c r="I15" i="39"/>
  <c r="I39" i="39"/>
  <c r="AF26" i="39"/>
  <c r="AU35" i="39"/>
  <c r="V22" i="39"/>
  <c r="AO45" i="39"/>
  <c r="R27" i="41"/>
  <c r="P27" i="41"/>
  <c r="M27" i="41"/>
  <c r="L27" i="41"/>
  <c r="Y27" i="41"/>
  <c r="O27" i="41"/>
  <c r="K27" i="41"/>
  <c r="S27" i="41"/>
  <c r="V27" i="41"/>
  <c r="N27" i="41"/>
  <c r="Q27" i="41"/>
  <c r="J27" i="41"/>
  <c r="I27" i="41"/>
  <c r="Y39" i="41"/>
  <c r="V39" i="41"/>
  <c r="P39" i="41"/>
  <c r="J39" i="41"/>
  <c r="L39" i="41"/>
  <c r="M39" i="41"/>
  <c r="I39" i="41"/>
  <c r="S39" i="41"/>
  <c r="O39" i="41"/>
  <c r="N39" i="41"/>
  <c r="K39" i="41"/>
  <c r="Q39" i="41"/>
  <c r="R39" i="41"/>
  <c r="J27" i="39"/>
  <c r="J36" i="41"/>
  <c r="S36" i="41"/>
  <c r="O36" i="41"/>
  <c r="N36" i="41"/>
  <c r="K36" i="41"/>
  <c r="P36" i="41"/>
  <c r="Q36" i="41"/>
  <c r="Y36" i="41"/>
  <c r="L36" i="41"/>
  <c r="V36" i="41"/>
  <c r="R36" i="41"/>
  <c r="M36" i="41"/>
  <c r="I36" i="41"/>
  <c r="AJ20" i="39"/>
  <c r="AT20" i="39"/>
  <c r="AG20" i="39"/>
  <c r="AI20" i="39"/>
  <c r="AM20" i="39"/>
  <c r="R20" i="39"/>
  <c r="AQ20" i="39"/>
  <c r="AK20" i="39"/>
  <c r="AA20" i="39"/>
  <c r="S20" i="39"/>
  <c r="P20" i="39"/>
  <c r="Q20" i="39"/>
  <c r="AF20" i="39"/>
  <c r="O20" i="39"/>
  <c r="W20" i="39"/>
  <c r="AP20" i="39"/>
  <c r="AR20" i="39"/>
  <c r="AD20" i="39"/>
  <c r="N20" i="39"/>
  <c r="Z20" i="39"/>
  <c r="X20" i="39"/>
  <c r="AS20" i="39"/>
  <c r="M20" i="39"/>
  <c r="Y20" i="39"/>
  <c r="Y53" i="39" s="1"/>
  <c r="AH20" i="39"/>
  <c r="V20" i="39"/>
  <c r="AC20" i="39"/>
  <c r="T20" i="39"/>
  <c r="AB20" i="39"/>
  <c r="AU20" i="39"/>
  <c r="AO20" i="39"/>
  <c r="AN20" i="39"/>
  <c r="U20" i="39"/>
  <c r="AL20" i="39"/>
  <c r="AE20" i="39"/>
  <c r="L20" i="39"/>
  <c r="M18" i="41"/>
  <c r="S18" i="41"/>
  <c r="O18" i="41"/>
  <c r="L18" i="41"/>
  <c r="V18" i="41"/>
  <c r="Y18" i="41"/>
  <c r="I18" i="41"/>
  <c r="P18" i="41"/>
  <c r="J18" i="41"/>
  <c r="R18" i="41"/>
  <c r="K18" i="41"/>
  <c r="Q18" i="41"/>
  <c r="N18" i="41"/>
  <c r="M24" i="41"/>
  <c r="Y24" i="41"/>
  <c r="P24" i="41"/>
  <c r="J24" i="41"/>
  <c r="Q24" i="41"/>
  <c r="N24" i="41"/>
  <c r="K24" i="41"/>
  <c r="S24" i="41"/>
  <c r="L24" i="41"/>
  <c r="V24" i="41"/>
  <c r="O24" i="41"/>
  <c r="I24" i="41"/>
  <c r="R24" i="41"/>
  <c r="H31" i="39"/>
  <c r="J19" i="39"/>
  <c r="I19" i="39"/>
  <c r="X17" i="39"/>
  <c r="O17" i="39"/>
  <c r="U17" i="39"/>
  <c r="W17" i="39"/>
  <c r="AE17" i="39"/>
  <c r="N17" i="39"/>
  <c r="AA17" i="39"/>
  <c r="AQ17" i="39"/>
  <c r="AT17" i="39"/>
  <c r="AT50" i="39" s="1"/>
  <c r="AT60" i="39" s="1"/>
  <c r="P17" i="39"/>
  <c r="AH17" i="39"/>
  <c r="AF17" i="39"/>
  <c r="M17" i="39"/>
  <c r="AL17" i="39"/>
  <c r="R17" i="39"/>
  <c r="AS17" i="39"/>
  <c r="Y17" i="39"/>
  <c r="AR17" i="39"/>
  <c r="AB17" i="39"/>
  <c r="AO17" i="39"/>
  <c r="AI17" i="39"/>
  <c r="S17" i="39"/>
  <c r="AP17" i="39"/>
  <c r="T17" i="39"/>
  <c r="AD17" i="39"/>
  <c r="AN17" i="39"/>
  <c r="AJ17" i="39"/>
  <c r="Z17" i="39"/>
  <c r="Q17" i="39"/>
  <c r="V17" i="39"/>
  <c r="L17" i="39"/>
  <c r="AM17" i="39"/>
  <c r="AK17" i="39"/>
  <c r="AU17" i="39"/>
  <c r="AG17" i="39"/>
  <c r="AC17" i="39"/>
  <c r="I27" i="39"/>
  <c r="H15" i="39"/>
  <c r="T14" i="39"/>
  <c r="AM14" i="39"/>
  <c r="W14" i="39"/>
  <c r="J31" i="39"/>
  <c r="I31" i="39"/>
  <c r="H19" i="39"/>
  <c r="J21" i="41"/>
  <c r="R21" i="41"/>
  <c r="M21" i="41"/>
  <c r="Y21" i="41"/>
  <c r="P21" i="41"/>
  <c r="N21" i="41"/>
  <c r="K21" i="41"/>
  <c r="L21" i="41"/>
  <c r="O21" i="41"/>
  <c r="I21" i="41"/>
  <c r="V21" i="41"/>
  <c r="Q21" i="41"/>
  <c r="S21" i="41"/>
  <c r="H27" i="39"/>
  <c r="H21" i="39"/>
  <c r="I21" i="39"/>
  <c r="J21" i="39"/>
  <c r="H24" i="39"/>
  <c r="V14" i="39"/>
  <c r="J24" i="39" l="1"/>
  <c r="I24" i="39"/>
  <c r="AF50" i="39"/>
  <c r="AF60" i="39" s="1"/>
  <c r="H40" i="39"/>
  <c r="J40" i="39"/>
  <c r="Q54" i="39"/>
  <c r="Q64" i="39" s="1"/>
  <c r="K15" i="39"/>
  <c r="V54" i="39"/>
  <c r="V64" i="39" s="1"/>
  <c r="AP51" i="39"/>
  <c r="AP61" i="39" s="1"/>
  <c r="W54" i="39"/>
  <c r="W64" i="39" s="1"/>
  <c r="P54" i="39"/>
  <c r="P64" i="39" s="1"/>
  <c r="T54" i="39"/>
  <c r="T64" i="39" s="1"/>
  <c r="R54" i="39"/>
  <c r="R64" i="39" s="1"/>
  <c r="S54" i="39"/>
  <c r="S64" i="39" s="1"/>
  <c r="O54" i="39"/>
  <c r="O64" i="39" s="1"/>
  <c r="U54" i="39"/>
  <c r="U64" i="39" s="1"/>
  <c r="AC54" i="39"/>
  <c r="AC64" i="39" s="1"/>
  <c r="AD54" i="39"/>
  <c r="AD64" i="39" s="1"/>
  <c r="AI54" i="39"/>
  <c r="AI64" i="39" s="1"/>
  <c r="AE54" i="39"/>
  <c r="AE64" i="39" s="1"/>
  <c r="AG54" i="39"/>
  <c r="AG64" i="39" s="1"/>
  <c r="AH54" i="39"/>
  <c r="AH64" i="39" s="1"/>
  <c r="AF54" i="39"/>
  <c r="AF64" i="39" s="1"/>
  <c r="AN51" i="39"/>
  <c r="AN61" i="39" s="1"/>
  <c r="AS51" i="39"/>
  <c r="AS61" i="39" s="1"/>
  <c r="Q53" i="39"/>
  <c r="Q63" i="39" s="1"/>
  <c r="U53" i="39"/>
  <c r="U63" i="39" s="1"/>
  <c r="O53" i="39"/>
  <c r="R53" i="39"/>
  <c r="R63" i="39" s="1"/>
  <c r="T53" i="39"/>
  <c r="T63" i="39" s="1"/>
  <c r="W53" i="39"/>
  <c r="W63" i="39" s="1"/>
  <c r="AQ51" i="39"/>
  <c r="AQ61" i="39" s="1"/>
  <c r="P53" i="39"/>
  <c r="P63" i="39" s="1"/>
  <c r="V53" i="39"/>
  <c r="V63" i="39" s="1"/>
  <c r="S53" i="39"/>
  <c r="S63" i="39" s="1"/>
  <c r="AA54" i="39"/>
  <c r="AR51" i="39"/>
  <c r="AR61" i="39" s="1"/>
  <c r="AP50" i="39"/>
  <c r="AP60" i="39" s="1"/>
  <c r="AD53" i="39"/>
  <c r="AD63" i="39" s="1"/>
  <c r="AU50" i="39"/>
  <c r="AU60" i="39" s="1"/>
  <c r="AM50" i="39"/>
  <c r="AM60" i="39" s="1"/>
  <c r="I40" i="39"/>
  <c r="AC53" i="39"/>
  <c r="AC63" i="39" s="1"/>
  <c r="AB53" i="39"/>
  <c r="AB63" i="39" s="1"/>
  <c r="AT51" i="39"/>
  <c r="AT61" i="39" s="1"/>
  <c r="AS50" i="39"/>
  <c r="AS60" i="39" s="1"/>
  <c r="AR50" i="39"/>
  <c r="AR60" i="39" s="1"/>
  <c r="AO51" i="39"/>
  <c r="AO61" i="39" s="1"/>
  <c r="AU51" i="39"/>
  <c r="AU61" i="39" s="1"/>
  <c r="AM51" i="39"/>
  <c r="AM61" i="39" s="1"/>
  <c r="AB54" i="39"/>
  <c r="AB64" i="39" s="1"/>
  <c r="AI53" i="39"/>
  <c r="AI63" i="39" s="1"/>
  <c r="AA53" i="39"/>
  <c r="AA63" i="39" s="1"/>
  <c r="AG53" i="39"/>
  <c r="AG63" i="39" s="1"/>
  <c r="AH53" i="39"/>
  <c r="AH63" i="39" s="1"/>
  <c r="AF53" i="39"/>
  <c r="AF63" i="39" s="1"/>
  <c r="AQ50" i="39"/>
  <c r="AQ60" i="39" s="1"/>
  <c r="AE53" i="39"/>
  <c r="AE63" i="39" s="1"/>
  <c r="AO50" i="39"/>
  <c r="AO60" i="39" s="1"/>
  <c r="AN50" i="39"/>
  <c r="AN60" i="39" s="1"/>
  <c r="AD50" i="39"/>
  <c r="AD60" i="39" s="1"/>
  <c r="AO94" i="39"/>
  <c r="Y63" i="39"/>
  <c r="AA64" i="39"/>
  <c r="K44" i="39"/>
  <c r="K38" i="39"/>
  <c r="H18" i="39"/>
  <c r="J16" i="39"/>
  <c r="H30" i="39"/>
  <c r="J25" i="39"/>
  <c r="J28" i="39"/>
  <c r="H16" i="39"/>
  <c r="I25" i="39"/>
  <c r="J23" i="39"/>
  <c r="H41" i="39"/>
  <c r="AE94" i="39"/>
  <c r="I28" i="39"/>
  <c r="H28" i="39"/>
  <c r="S51" i="39"/>
  <c r="S61" i="39" s="1"/>
  <c r="H25" i="39"/>
  <c r="AM53" i="39"/>
  <c r="AM63" i="39" s="1"/>
  <c r="L88" i="39"/>
  <c r="I16" i="39"/>
  <c r="N50" i="39"/>
  <c r="N60" i="39" s="1"/>
  <c r="Z94" i="39"/>
  <c r="I45" i="39"/>
  <c r="J36" i="39"/>
  <c r="AR94" i="39"/>
  <c r="T94" i="39"/>
  <c r="K32" i="39"/>
  <c r="J41" i="39"/>
  <c r="H37" i="39"/>
  <c r="H23" i="39"/>
  <c r="O88" i="39"/>
  <c r="P51" i="39"/>
  <c r="P61" i="39" s="1"/>
  <c r="N88" i="39"/>
  <c r="AS88" i="39"/>
  <c r="AU94" i="39"/>
  <c r="K42" i="39"/>
  <c r="AQ53" i="39"/>
  <c r="AQ63" i="39" s="1"/>
  <c r="W88" i="39"/>
  <c r="AN94" i="39"/>
  <c r="AC88" i="39"/>
  <c r="AO53" i="39"/>
  <c r="AO63" i="39" s="1"/>
  <c r="J33" i="39"/>
  <c r="AP54" i="39"/>
  <c r="AP64" i="39" s="1"/>
  <c r="AG50" i="39"/>
  <c r="AG60" i="39" s="1"/>
  <c r="K39" i="39"/>
  <c r="X50" i="39"/>
  <c r="X60" i="39" s="1"/>
  <c r="J43" i="39"/>
  <c r="H43" i="39"/>
  <c r="I26" i="39"/>
  <c r="AC51" i="39"/>
  <c r="AC61" i="39" s="1"/>
  <c r="J26" i="39"/>
  <c r="AU54" i="39"/>
  <c r="AU64" i="39" s="1"/>
  <c r="V51" i="39"/>
  <c r="V61" i="39" s="1"/>
  <c r="P94" i="39"/>
  <c r="AK94" i="39"/>
  <c r="AJ94" i="39"/>
  <c r="L94" i="39"/>
  <c r="AS53" i="39"/>
  <c r="AS63" i="39" s="1"/>
  <c r="R50" i="39"/>
  <c r="R60" i="39" s="1"/>
  <c r="Z51" i="39"/>
  <c r="Z61" i="39" s="1"/>
  <c r="AU88" i="39"/>
  <c r="S88" i="39"/>
  <c r="AP94" i="39"/>
  <c r="AL51" i="39"/>
  <c r="AL61" i="39" s="1"/>
  <c r="J29" i="39"/>
  <c r="U51" i="39"/>
  <c r="U61" i="39" s="1"/>
  <c r="I41" i="39"/>
  <c r="AD94" i="39"/>
  <c r="J18" i="39"/>
  <c r="I30" i="39"/>
  <c r="H34" i="39"/>
  <c r="T51" i="39"/>
  <c r="T61" i="39" s="1"/>
  <c r="J37" i="39"/>
  <c r="I34" i="39"/>
  <c r="I37" i="39"/>
  <c r="J34" i="39"/>
  <c r="I18" i="39"/>
  <c r="J30" i="39"/>
  <c r="I23" i="39"/>
  <c r="AK51" i="39"/>
  <c r="AK61" i="39" s="1"/>
  <c r="AD51" i="39"/>
  <c r="AD61" i="39" s="1"/>
  <c r="AB88" i="39"/>
  <c r="AA50" i="39"/>
  <c r="AA60" i="39" s="1"/>
  <c r="T50" i="39"/>
  <c r="T60" i="39" s="1"/>
  <c r="H45" i="39"/>
  <c r="H35" i="39"/>
  <c r="Q51" i="39"/>
  <c r="Q61" i="39" s="1"/>
  <c r="X94" i="39"/>
  <c r="AG51" i="39"/>
  <c r="AG61" i="39" s="1"/>
  <c r="W50" i="39"/>
  <c r="W60" i="39" s="1"/>
  <c r="AM54" i="39"/>
  <c r="AM64" i="39" s="1"/>
  <c r="AJ50" i="39"/>
  <c r="AJ60" i="39" s="1"/>
  <c r="AH50" i="39"/>
  <c r="AH60" i="39" s="1"/>
  <c r="L51" i="39"/>
  <c r="L61" i="39" s="1"/>
  <c r="AL50" i="39"/>
  <c r="AL60" i="39" s="1"/>
  <c r="AC50" i="39"/>
  <c r="AC60" i="39" s="1"/>
  <c r="AF88" i="39"/>
  <c r="AL94" i="39"/>
  <c r="AO88" i="39"/>
  <c r="X88" i="39"/>
  <c r="AL88" i="39"/>
  <c r="U88" i="39"/>
  <c r="AM88" i="39"/>
  <c r="AQ88" i="39"/>
  <c r="AT54" i="39"/>
  <c r="AT64" i="39" s="1"/>
  <c r="AA51" i="39"/>
  <c r="AA61" i="39" s="1"/>
  <c r="M51" i="39"/>
  <c r="M61" i="39" s="1"/>
  <c r="V94" i="39"/>
  <c r="W51" i="39"/>
  <c r="W61" i="39" s="1"/>
  <c r="AE51" i="39"/>
  <c r="AE61" i="39" s="1"/>
  <c r="I36" i="39"/>
  <c r="O50" i="39"/>
  <c r="O60" i="39" s="1"/>
  <c r="AD88" i="39"/>
  <c r="S50" i="39"/>
  <c r="S60" i="39" s="1"/>
  <c r="K21" i="39"/>
  <c r="AU53" i="39"/>
  <c r="AU63" i="39" s="1"/>
  <c r="AN53" i="39"/>
  <c r="AN63" i="39" s="1"/>
  <c r="Q50" i="39"/>
  <c r="Q60" i="39" s="1"/>
  <c r="AR54" i="39"/>
  <c r="AR64" i="39" s="1"/>
  <c r="I33" i="39"/>
  <c r="H36" i="39"/>
  <c r="AS54" i="39"/>
  <c r="AS64" i="39" s="1"/>
  <c r="R51" i="39"/>
  <c r="R61" i="39" s="1"/>
  <c r="AG88" i="39"/>
  <c r="N51" i="39"/>
  <c r="N61" i="39" s="1"/>
  <c r="Q88" i="39"/>
  <c r="AA88" i="39"/>
  <c r="J45" i="39"/>
  <c r="J35" i="39"/>
  <c r="N94" i="39"/>
  <c r="U94" i="39"/>
  <c r="AJ51" i="39"/>
  <c r="AJ61" i="39" s="1"/>
  <c r="H33" i="39"/>
  <c r="AF94" i="39"/>
  <c r="J22" i="39"/>
  <c r="AC94" i="39"/>
  <c r="AI94" i="39"/>
  <c r="S94" i="39"/>
  <c r="AB51" i="39"/>
  <c r="AB61" i="39" s="1"/>
  <c r="AO54" i="39"/>
  <c r="AO64" i="39" s="1"/>
  <c r="H29" i="39"/>
  <c r="Y51" i="39"/>
  <c r="Y61" i="39" s="1"/>
  <c r="AN54" i="39"/>
  <c r="AN64" i="39" s="1"/>
  <c r="AH51" i="39"/>
  <c r="AH61" i="39" s="1"/>
  <c r="AQ94" i="39"/>
  <c r="R94" i="39"/>
  <c r="AG94" i="39"/>
  <c r="O94" i="39"/>
  <c r="AI51" i="39"/>
  <c r="AI61" i="39" s="1"/>
  <c r="W94" i="39"/>
  <c r="U50" i="39"/>
  <c r="U60" i="39" s="1"/>
  <c r="I43" i="39"/>
  <c r="AB94" i="39"/>
  <c r="O51" i="39"/>
  <c r="O61" i="39" s="1"/>
  <c r="AQ54" i="39"/>
  <c r="AQ64" i="39" s="1"/>
  <c r="AH94" i="39"/>
  <c r="AA94" i="39"/>
  <c r="AH88" i="39"/>
  <c r="H22" i="39"/>
  <c r="I22" i="39"/>
  <c r="H26" i="39"/>
  <c r="AN88" i="39"/>
  <c r="I29" i="39"/>
  <c r="R88" i="39"/>
  <c r="M94" i="39"/>
  <c r="Y94" i="39"/>
  <c r="AF51" i="39"/>
  <c r="AF61" i="39" s="1"/>
  <c r="AS94" i="39"/>
  <c r="AM94" i="39"/>
  <c r="AT94" i="39"/>
  <c r="Q94" i="39"/>
  <c r="AB50" i="39"/>
  <c r="AB60" i="39" s="1"/>
  <c r="I35" i="39"/>
  <c r="X51" i="39"/>
  <c r="X61" i="39" s="1"/>
  <c r="T88" i="39"/>
  <c r="K19" i="39"/>
  <c r="M88" i="39"/>
  <c r="Z88" i="39"/>
  <c r="Z50" i="39"/>
  <c r="Z60" i="39" s="1"/>
  <c r="M50" i="39"/>
  <c r="M60" i="39" s="1"/>
  <c r="K27" i="39"/>
  <c r="H17" i="39"/>
  <c r="J17" i="39"/>
  <c r="AP53" i="39"/>
  <c r="AP63" i="39" s="1"/>
  <c r="AP88" i="39"/>
  <c r="I20" i="39"/>
  <c r="J20" i="39"/>
  <c r="V50" i="39"/>
  <c r="V60" i="39" s="1"/>
  <c r="V88" i="39"/>
  <c r="AR88" i="39"/>
  <c r="AR53" i="39"/>
  <c r="AR63" i="39" s="1"/>
  <c r="P50" i="39"/>
  <c r="P60" i="39" s="1"/>
  <c r="P88" i="39"/>
  <c r="K31" i="39"/>
  <c r="H20" i="39"/>
  <c r="L50" i="39"/>
  <c r="L60" i="39" s="1"/>
  <c r="AK50" i="39"/>
  <c r="AK60" i="39" s="1"/>
  <c r="AK88" i="39"/>
  <c r="AI88" i="39"/>
  <c r="AI50" i="39"/>
  <c r="AI60" i="39" s="1"/>
  <c r="Y50" i="39"/>
  <c r="Y60" i="39" s="1"/>
  <c r="Y88" i="39"/>
  <c r="AT53" i="39"/>
  <c r="AT63" i="39" s="1"/>
  <c r="AT88" i="39"/>
  <c r="AE50" i="39"/>
  <c r="AE60" i="39" s="1"/>
  <c r="AE88" i="39"/>
  <c r="I17" i="39"/>
  <c r="AJ88" i="39"/>
  <c r="K40" i="39"/>
  <c r="K24" i="39"/>
  <c r="P14" i="39"/>
  <c r="I54" i="39" l="1"/>
  <c r="K16" i="39"/>
  <c r="H54" i="39"/>
  <c r="K41" i="39"/>
  <c r="I53" i="39"/>
  <c r="O63" i="39"/>
  <c r="H53" i="39"/>
  <c r="K25" i="39"/>
  <c r="K36" i="39"/>
  <c r="K28" i="39"/>
  <c r="K18" i="39"/>
  <c r="I88" i="39"/>
  <c r="F21" i="40" s="1"/>
  <c r="K33" i="39"/>
  <c r="K37" i="39"/>
  <c r="H51" i="39"/>
  <c r="K26" i="39"/>
  <c r="J51" i="39"/>
  <c r="K22" i="39"/>
  <c r="K43" i="39"/>
  <c r="K45" i="39"/>
  <c r="K34" i="39"/>
  <c r="J94" i="39"/>
  <c r="G27" i="40" s="1"/>
  <c r="K30" i="39"/>
  <c r="K23" i="39"/>
  <c r="K35" i="39"/>
  <c r="J88" i="39"/>
  <c r="G21" i="40" s="1"/>
  <c r="K29" i="39"/>
  <c r="I51" i="39"/>
  <c r="J54" i="39"/>
  <c r="I94" i="39"/>
  <c r="F27" i="40" s="1"/>
  <c r="J50" i="39"/>
  <c r="K94" i="39"/>
  <c r="H27" i="40" s="1"/>
  <c r="I50" i="39"/>
  <c r="H94" i="39"/>
  <c r="E27" i="40" s="1"/>
  <c r="K88" i="39"/>
  <c r="H21" i="40" s="1"/>
  <c r="K20" i="39"/>
  <c r="H50" i="39"/>
  <c r="J53" i="39"/>
  <c r="K17" i="39"/>
  <c r="H88" i="39"/>
  <c r="E21" i="40" s="1"/>
  <c r="S14" i="39"/>
  <c r="K51" i="39" l="1"/>
  <c r="K54" i="39"/>
  <c r="K53" i="39"/>
  <c r="K50" i="39"/>
  <c r="AF14" i="39"/>
  <c r="AF12" i="39"/>
  <c r="AI14" i="39" l="1"/>
  <c r="AI12" i="39"/>
  <c r="O14" i="39" l="1"/>
  <c r="O12" i="39"/>
  <c r="AC14" i="39" l="1"/>
  <c r="AC12" i="39"/>
  <c r="Q14" i="39" l="1"/>
  <c r="V12" i="39" l="1"/>
  <c r="AT14" i="39"/>
  <c r="AT12" i="39"/>
  <c r="U14" i="39" l="1"/>
  <c r="AD14" i="39" l="1"/>
  <c r="AD12" i="39"/>
  <c r="AO14" i="39" l="1"/>
  <c r="AO12" i="39"/>
  <c r="AE14" i="39" l="1"/>
  <c r="AE12" i="39"/>
  <c r="AP14" i="39" l="1"/>
  <c r="AP12" i="39"/>
  <c r="N14" i="39" l="1"/>
  <c r="AH14" i="39" l="1"/>
  <c r="AH12" i="39"/>
  <c r="AS14" i="39" l="1"/>
  <c r="U12" i="39"/>
  <c r="AS12" i="39"/>
  <c r="AK14" i="39" l="1"/>
  <c r="AK12" i="39"/>
  <c r="Z14" i="39" l="1"/>
  <c r="Z12" i="39"/>
  <c r="R14" i="39" l="1"/>
  <c r="R12" i="39"/>
  <c r="T12" i="39" l="1"/>
  <c r="AR14" i="39"/>
  <c r="AR12" i="39"/>
  <c r="M14" i="39" l="1"/>
  <c r="M12" i="39"/>
  <c r="P12" i="39" l="1"/>
  <c r="AN14" i="39"/>
  <c r="AN12" i="39"/>
  <c r="AG14" i="39" l="1"/>
  <c r="AG12" i="39"/>
  <c r="AB14" i="39" l="1"/>
  <c r="AB12" i="39"/>
  <c r="S12" i="39" l="1"/>
  <c r="AQ14" i="39"/>
  <c r="AQ12" i="39"/>
  <c r="Y14" i="39" l="1"/>
  <c r="Y12" i="39"/>
  <c r="N12" i="39" l="1"/>
  <c r="AL14" i="39"/>
  <c r="AL12" i="39"/>
  <c r="AJ14" i="39" l="1"/>
  <c r="J14" i="39" s="1"/>
  <c r="AJ12" i="39"/>
  <c r="H12" i="41"/>
  <c r="AA12" i="41" l="1"/>
  <c r="U12" i="41"/>
  <c r="X12" i="41"/>
  <c r="J12" i="39"/>
  <c r="L12" i="39" l="1"/>
  <c r="L14" i="39"/>
  <c r="H14" i="39" s="1"/>
  <c r="X14" i="39" l="1"/>
  <c r="X12" i="39"/>
  <c r="H12" i="39"/>
  <c r="F12" i="41"/>
  <c r="J12" i="41" l="1"/>
  <c r="M12" i="41"/>
  <c r="P12" i="41"/>
  <c r="S12" i="41"/>
  <c r="V12" i="41"/>
  <c r="Y12" i="41"/>
  <c r="AA14" i="39"/>
  <c r="I14" i="39" s="1"/>
  <c r="K14" i="39" s="1"/>
  <c r="AA12" i="39"/>
  <c r="I12" i="39" l="1"/>
  <c r="K12" i="39" s="1"/>
  <c r="G12" i="41"/>
  <c r="Y50" i="31" l="1"/>
  <c r="Y56" i="31" s="1"/>
  <c r="R12" i="41"/>
  <c r="K12" i="41"/>
  <c r="N12" i="41"/>
  <c r="L12" i="41"/>
  <c r="Q12" i="41"/>
  <c r="O12" i="41"/>
  <c r="W12" i="41"/>
  <c r="Z12" i="41"/>
  <c r="T12" i="41"/>
  <c r="I12" i="41"/>
  <c r="Y41" i="31"/>
  <c r="AO53" i="31" l="1"/>
  <c r="AO65" i="31" s="1"/>
  <c r="Y62" i="31"/>
  <c r="AM13" i="39"/>
  <c r="Y68" i="31"/>
  <c r="AO41" i="31"/>
  <c r="V50" i="31" l="1"/>
  <c r="V56" i="31" s="1"/>
  <c r="AO56" i="31"/>
  <c r="AO68" i="31" s="1"/>
  <c r="AM49" i="39"/>
  <c r="AM59" i="39" s="1"/>
  <c r="AM52" i="39"/>
  <c r="AM80" i="39"/>
  <c r="AM91" i="39" a="1"/>
  <c r="AM91" i="39" s="1"/>
  <c r="AM77" i="39"/>
  <c r="AM83" i="39"/>
  <c r="AM89" i="39"/>
  <c r="AM98" i="39"/>
  <c r="AM92" i="39"/>
  <c r="AM97" i="39" a="1"/>
  <c r="AM97" i="39" s="1"/>
  <c r="AM95" i="39"/>
  <c r="AM82" i="39"/>
  <c r="AM85" i="39" s="1" a="1"/>
  <c r="AM85" i="39" s="1"/>
  <c r="AM76" i="39"/>
  <c r="AM86" i="39"/>
  <c r="AM46" i="39"/>
  <c r="V41" i="31"/>
  <c r="AW53" i="31" l="1"/>
  <c r="AW56" i="31" s="1"/>
  <c r="V62" i="31"/>
  <c r="AW13" i="39"/>
  <c r="AW49" i="39" s="1"/>
  <c r="AW59" i="39" s="1"/>
  <c r="AX13" i="39"/>
  <c r="AX49" i="39" s="1"/>
  <c r="AX59" i="39" s="1"/>
  <c r="AV13" i="39"/>
  <c r="AV49" i="39" s="1"/>
  <c r="AV59" i="39" s="1"/>
  <c r="W13" i="39"/>
  <c r="AU13" i="39"/>
  <c r="AM78" i="39"/>
  <c r="AM79" i="39" a="1"/>
  <c r="AM79" i="39" s="1"/>
  <c r="AM84" i="39"/>
  <c r="AM96" i="39"/>
  <c r="AM90" i="39"/>
  <c r="AM62" i="39"/>
  <c r="AM66" i="39" s="1"/>
  <c r="AM55" i="39"/>
  <c r="AM65" i="39" s="1"/>
  <c r="V68" i="31"/>
  <c r="AW41" i="31"/>
  <c r="AW65" i="31" l="1"/>
  <c r="X50" i="31"/>
  <c r="X56" i="31" s="1"/>
  <c r="W52" i="39"/>
  <c r="W62" i="39" s="1"/>
  <c r="W49" i="39"/>
  <c r="AV91" i="39" a="1"/>
  <c r="AV91" i="39" s="1"/>
  <c r="AV97" i="39" a="1"/>
  <c r="AV97" i="39" s="1"/>
  <c r="AV98" i="39"/>
  <c r="AV80" i="39"/>
  <c r="AV52" i="39"/>
  <c r="AV92" i="39"/>
  <c r="AV86" i="39"/>
  <c r="AV76" i="39"/>
  <c r="AV89" i="39"/>
  <c r="AV83" i="39"/>
  <c r="AV46" i="39"/>
  <c r="AV95" i="39"/>
  <c r="AV77" i="39"/>
  <c r="AV82" i="39"/>
  <c r="AV85" i="39" s="1" a="1"/>
  <c r="AV85" i="39" s="1"/>
  <c r="AX97" i="39" a="1"/>
  <c r="AX97" i="39" s="1"/>
  <c r="AX91" i="39" a="1"/>
  <c r="AX91" i="39" s="1"/>
  <c r="AX92" i="39"/>
  <c r="AX80" i="39"/>
  <c r="AX52" i="39"/>
  <c r="AX98" i="39"/>
  <c r="AX46" i="39"/>
  <c r="AX82" i="39"/>
  <c r="AX86" i="39"/>
  <c r="AX89" i="39"/>
  <c r="AX76" i="39"/>
  <c r="AX83" i="39"/>
  <c r="AX95" i="39"/>
  <c r="AX77" i="39"/>
  <c r="AU49" i="39"/>
  <c r="AU59" i="39" s="1"/>
  <c r="AU52" i="39"/>
  <c r="AW91" i="39" a="1"/>
  <c r="AW91" i="39" s="1"/>
  <c r="AW97" i="39" a="1"/>
  <c r="AW97" i="39" s="1"/>
  <c r="AW76" i="39"/>
  <c r="AW89" i="39"/>
  <c r="AW52" i="39"/>
  <c r="AW83" i="39"/>
  <c r="AW46" i="39"/>
  <c r="AW82" i="39"/>
  <c r="AW86" i="39"/>
  <c r="AW98" i="39"/>
  <c r="AW92" i="39"/>
  <c r="AW80" i="39"/>
  <c r="AW95" i="39"/>
  <c r="AW77" i="39"/>
  <c r="W76" i="39"/>
  <c r="W97" i="39" a="1"/>
  <c r="W97" i="39" s="1"/>
  <c r="W80" i="39"/>
  <c r="W77" i="39"/>
  <c r="W91" i="39" a="1"/>
  <c r="W91" i="39" s="1"/>
  <c r="W46" i="39"/>
  <c r="W92" i="39"/>
  <c r="W89" i="39"/>
  <c r="W86" i="39"/>
  <c r="W98" i="39"/>
  <c r="W95" i="39"/>
  <c r="W83" i="39"/>
  <c r="W82" i="39"/>
  <c r="W85" i="39" s="1" a="1"/>
  <c r="W85" i="39" s="1"/>
  <c r="AW68" i="31"/>
  <c r="AU97" i="39" a="1"/>
  <c r="AU97" i="39" s="1"/>
  <c r="AU98" i="39"/>
  <c r="AU82" i="39"/>
  <c r="AU85" i="39" s="1" a="1"/>
  <c r="AU85" i="39" s="1"/>
  <c r="AU83" i="39"/>
  <c r="AU76" i="39"/>
  <c r="AU92" i="39"/>
  <c r="AU95" i="39"/>
  <c r="AU46" i="39"/>
  <c r="AU91" i="39" a="1"/>
  <c r="AU91" i="39" s="1"/>
  <c r="AU80" i="39"/>
  <c r="AU89" i="39"/>
  <c r="AU77" i="39"/>
  <c r="AU86" i="39"/>
  <c r="X41" i="31"/>
  <c r="X62" i="31" l="1"/>
  <c r="R50" i="31"/>
  <c r="R56" i="31" s="1"/>
  <c r="AW84" i="39"/>
  <c r="AW85" i="39" a="1"/>
  <c r="AW85" i="39" s="1"/>
  <c r="AX84" i="39"/>
  <c r="AX85" i="39" a="1"/>
  <c r="AX85" i="39" s="1"/>
  <c r="AW78" i="39"/>
  <c r="AW79" i="39" a="1"/>
  <c r="AW79" i="39" s="1"/>
  <c r="AW96" i="39"/>
  <c r="AW90" i="39"/>
  <c r="AX79" i="39" a="1"/>
  <c r="AX79" i="39" s="1"/>
  <c r="AX78" i="39"/>
  <c r="AX96" i="39"/>
  <c r="AX90" i="39"/>
  <c r="AV62" i="39"/>
  <c r="AV66" i="39" s="1"/>
  <c r="AV55" i="39"/>
  <c r="AV65" i="39" s="1"/>
  <c r="AW62" i="39"/>
  <c r="AW66" i="39" s="1"/>
  <c r="AW55" i="39"/>
  <c r="AW65" i="39" s="1"/>
  <c r="AX62" i="39"/>
  <c r="AX66" i="39" s="1"/>
  <c r="AX55" i="39"/>
  <c r="AX65" i="39" s="1"/>
  <c r="AV79" i="39" a="1"/>
  <c r="AV79" i="39" s="1"/>
  <c r="AV78" i="39"/>
  <c r="AV90" i="39"/>
  <c r="AV84" i="39"/>
  <c r="AV96" i="39"/>
  <c r="W79" i="39" a="1"/>
  <c r="W79" i="39" s="1"/>
  <c r="W84" i="39"/>
  <c r="W78" i="39"/>
  <c r="W96" i="39"/>
  <c r="W90" i="39"/>
  <c r="W55" i="39"/>
  <c r="W65" i="39" s="1"/>
  <c r="W59" i="39"/>
  <c r="W66" i="39" s="1"/>
  <c r="X68" i="31"/>
  <c r="AU79" i="39" a="1"/>
  <c r="AU79" i="39" s="1"/>
  <c r="AU78" i="39"/>
  <c r="AU90" i="39"/>
  <c r="AU96" i="39"/>
  <c r="AU84" i="39"/>
  <c r="AU62" i="39"/>
  <c r="AU66" i="39" s="1"/>
  <c r="AU55" i="39"/>
  <c r="AU65" i="39" s="1"/>
  <c r="R41" i="31"/>
  <c r="R62" i="31" l="1"/>
  <c r="U50" i="31"/>
  <c r="U56" i="31" s="1"/>
  <c r="R68" i="31"/>
  <c r="U41" i="31"/>
  <c r="AH50" i="31" l="1"/>
  <c r="AH56" i="31" s="1"/>
  <c r="U62" i="31"/>
  <c r="AF13" i="39"/>
  <c r="U68" i="31"/>
  <c r="AH41" i="31"/>
  <c r="AF49" i="39" l="1"/>
  <c r="AF52" i="39"/>
  <c r="AF62" i="39" s="1"/>
  <c r="AK50" i="31"/>
  <c r="AK56" i="31" s="1"/>
  <c r="AH62" i="31"/>
  <c r="AI13" i="39"/>
  <c r="AH68" i="31"/>
  <c r="AF97" i="39" a="1"/>
  <c r="AF97" i="39" s="1"/>
  <c r="AF91" i="39" a="1"/>
  <c r="AF91" i="39" s="1"/>
  <c r="AF82" i="39"/>
  <c r="AF85" i="39" s="1" a="1"/>
  <c r="AF85" i="39" s="1"/>
  <c r="AF95" i="39"/>
  <c r="AF83" i="39"/>
  <c r="AF46" i="39"/>
  <c r="AF86" i="39"/>
  <c r="AF98" i="39"/>
  <c r="AF77" i="39"/>
  <c r="AF80" i="39"/>
  <c r="AF92" i="39"/>
  <c r="AF76" i="39"/>
  <c r="AF89" i="39"/>
  <c r="AK41" i="31"/>
  <c r="AI49" i="39" l="1"/>
  <c r="AI52" i="39"/>
  <c r="AI62" i="39" s="1"/>
  <c r="AK62" i="31"/>
  <c r="Q50" i="31"/>
  <c r="Q56" i="31" s="1"/>
  <c r="O13" i="39"/>
  <c r="O49" i="39" s="1"/>
  <c r="AF55" i="39"/>
  <c r="AF65" i="39" s="1"/>
  <c r="AF59" i="39"/>
  <c r="AF66" i="39" s="1"/>
  <c r="AK68" i="31"/>
  <c r="AF78" i="39"/>
  <c r="AF90" i="39"/>
  <c r="AF79" i="39" a="1"/>
  <c r="AF79" i="39" s="1"/>
  <c r="AF84" i="39"/>
  <c r="AF96" i="39"/>
  <c r="AI82" i="39"/>
  <c r="AI85" i="39" s="1" a="1"/>
  <c r="AI85" i="39" s="1"/>
  <c r="AI46" i="39"/>
  <c r="AI80" i="39"/>
  <c r="AI86" i="39"/>
  <c r="AI83" i="39"/>
  <c r="AI77" i="39"/>
  <c r="AI76" i="39"/>
  <c r="AI91" i="39" a="1"/>
  <c r="AI91" i="39" s="1"/>
  <c r="AI92" i="39"/>
  <c r="AI89" i="39"/>
  <c r="AI95" i="39"/>
  <c r="AI98" i="39"/>
  <c r="AI97" i="39" a="1"/>
  <c r="AI97" i="39" s="1"/>
  <c r="Q41" i="31"/>
  <c r="AE50" i="31" l="1"/>
  <c r="AE56" i="31" s="1"/>
  <c r="Q62" i="31"/>
  <c r="O52" i="39"/>
  <c r="O62" i="39" s="1"/>
  <c r="AC13" i="39"/>
  <c r="Q68" i="31"/>
  <c r="AI59" i="39"/>
  <c r="AI66" i="39" s="1"/>
  <c r="AI55" i="39"/>
  <c r="AI65" i="39" s="1"/>
  <c r="AI78" i="39"/>
  <c r="AI96" i="39"/>
  <c r="AI90" i="39"/>
  <c r="AI84" i="39"/>
  <c r="AI79" i="39" a="1"/>
  <c r="AI79" i="39" s="1"/>
  <c r="O76" i="39"/>
  <c r="O98" i="39"/>
  <c r="O46" i="39"/>
  <c r="O86" i="39"/>
  <c r="O92" i="39"/>
  <c r="O80" i="39"/>
  <c r="O77" i="39"/>
  <c r="O89" i="39"/>
  <c r="O91" i="39" a="1"/>
  <c r="O91" i="39" s="1"/>
  <c r="O83" i="39"/>
  <c r="O97" i="39" a="1"/>
  <c r="O97" i="39" s="1"/>
  <c r="O82" i="39"/>
  <c r="O85" i="39" s="1" a="1"/>
  <c r="O85" i="39" s="1"/>
  <c r="O95" i="39"/>
  <c r="AE41" i="31"/>
  <c r="AC49" i="39" l="1"/>
  <c r="AC52" i="39"/>
  <c r="AC62" i="39" s="1"/>
  <c r="AE62" i="31"/>
  <c r="S50" i="31"/>
  <c r="S56" i="31" s="1"/>
  <c r="O96" i="39"/>
  <c r="O84" i="39"/>
  <c r="O79" i="39" a="1"/>
  <c r="O79" i="39" s="1"/>
  <c r="O90" i="39"/>
  <c r="O78" i="39"/>
  <c r="AE68" i="31"/>
  <c r="O55" i="39"/>
  <c r="O65" i="39" s="1"/>
  <c r="O59" i="39"/>
  <c r="O66" i="39" s="1"/>
  <c r="AC89" i="39"/>
  <c r="AC76" i="39"/>
  <c r="AC46" i="39"/>
  <c r="AC92" i="39"/>
  <c r="AC77" i="39"/>
  <c r="AC86" i="39"/>
  <c r="AC95" i="39"/>
  <c r="AC91" i="39" a="1"/>
  <c r="AC91" i="39" s="1"/>
  <c r="AC97" i="39" a="1"/>
  <c r="AC97" i="39" s="1"/>
  <c r="AC83" i="39"/>
  <c r="AC82" i="39"/>
  <c r="AC85" i="39" s="1" a="1"/>
  <c r="AC85" i="39" s="1"/>
  <c r="AC98" i="39"/>
  <c r="AC80" i="39"/>
  <c r="S41" i="31"/>
  <c r="AV53" i="31" l="1"/>
  <c r="AV56" i="31" s="1"/>
  <c r="S62" i="31"/>
  <c r="V13" i="39"/>
  <c r="AT13" i="39"/>
  <c r="AC55" i="39"/>
  <c r="AC65" i="39" s="1"/>
  <c r="AC59" i="39"/>
  <c r="AC66" i="39" s="1"/>
  <c r="AC96" i="39"/>
  <c r="AC79" i="39" a="1"/>
  <c r="AC79" i="39" s="1"/>
  <c r="AC90" i="39"/>
  <c r="AC84" i="39"/>
  <c r="AC78" i="39"/>
  <c r="S68" i="31"/>
  <c r="AV41" i="31"/>
  <c r="AV65" i="31" l="1"/>
  <c r="W50" i="31"/>
  <c r="W56" i="31" s="1"/>
  <c r="AT49" i="39"/>
  <c r="AT59" i="39" s="1"/>
  <c r="AT52" i="39"/>
  <c r="V52" i="39"/>
  <c r="V62" i="39" s="1"/>
  <c r="V49" i="39"/>
  <c r="V91" i="39" a="1"/>
  <c r="V91" i="39" s="1"/>
  <c r="V86" i="39"/>
  <c r="V83" i="39"/>
  <c r="V46" i="39"/>
  <c r="V97" i="39" a="1"/>
  <c r="V97" i="39" s="1"/>
  <c r="V95" i="39"/>
  <c r="V76" i="39"/>
  <c r="V77" i="39"/>
  <c r="V92" i="39"/>
  <c r="V80" i="39"/>
  <c r="V82" i="39"/>
  <c r="V85" i="39" s="1" a="1"/>
  <c r="V85" i="39" s="1"/>
  <c r="V89" i="39"/>
  <c r="V98" i="39"/>
  <c r="AV68" i="31"/>
  <c r="AT91" i="39" a="1"/>
  <c r="AT91" i="39" s="1"/>
  <c r="AT76" i="39"/>
  <c r="AT89" i="39"/>
  <c r="AT95" i="39"/>
  <c r="AT83" i="39"/>
  <c r="AT77" i="39"/>
  <c r="AT80" i="39"/>
  <c r="AT82" i="39"/>
  <c r="AT85" i="39" s="1" a="1"/>
  <c r="AT85" i="39" s="1"/>
  <c r="AT86" i="39"/>
  <c r="AT92" i="39"/>
  <c r="AT46" i="39"/>
  <c r="AT98" i="39"/>
  <c r="AT97" i="39" a="1"/>
  <c r="AT97" i="39" s="1"/>
  <c r="W41" i="31"/>
  <c r="W62" i="31" l="1"/>
  <c r="AF50" i="31"/>
  <c r="AF56" i="31" s="1"/>
  <c r="V96" i="39"/>
  <c r="V90" i="39"/>
  <c r="V79" i="39" a="1"/>
  <c r="V79" i="39" s="1"/>
  <c r="V78" i="39"/>
  <c r="V84" i="39"/>
  <c r="V59" i="39"/>
  <c r="V66" i="39" s="1"/>
  <c r="V55" i="39"/>
  <c r="V65" i="39" s="1"/>
  <c r="AD13" i="39"/>
  <c r="AT96" i="39"/>
  <c r="AT79" i="39" a="1"/>
  <c r="AT79" i="39" s="1"/>
  <c r="AT78" i="39"/>
  <c r="AT84" i="39"/>
  <c r="AT90" i="39"/>
  <c r="AT62" i="39"/>
  <c r="AT66" i="39" s="1"/>
  <c r="AT55" i="39"/>
  <c r="AT65" i="39" s="1"/>
  <c r="W68" i="31"/>
  <c r="AF41" i="31"/>
  <c r="AD49" i="39" l="1"/>
  <c r="AD52" i="39"/>
  <c r="AD62" i="39" s="1"/>
  <c r="AQ53" i="31"/>
  <c r="AQ56" i="31" s="1"/>
  <c r="AF62" i="31"/>
  <c r="Q13" i="39"/>
  <c r="AO13" i="39"/>
  <c r="AF68" i="31"/>
  <c r="AD92" i="39"/>
  <c r="AD86" i="39"/>
  <c r="AD97" i="39" a="1"/>
  <c r="AD97" i="39" s="1"/>
  <c r="AD82" i="39"/>
  <c r="AD85" i="39" s="1" a="1"/>
  <c r="AD85" i="39" s="1"/>
  <c r="AD98" i="39"/>
  <c r="AD80" i="39"/>
  <c r="AD76" i="39"/>
  <c r="AD77" i="39"/>
  <c r="AD95" i="39"/>
  <c r="AD89" i="39"/>
  <c r="AD83" i="39"/>
  <c r="AD46" i="39"/>
  <c r="AD91" i="39" a="1"/>
  <c r="AD91" i="39" s="1"/>
  <c r="AQ41" i="31"/>
  <c r="AQ65" i="31" l="1"/>
  <c r="AG50" i="31"/>
  <c r="AG56" i="31" s="1"/>
  <c r="AO49" i="39"/>
  <c r="AO59" i="39" s="1"/>
  <c r="AO52" i="39"/>
  <c r="Q52" i="39"/>
  <c r="Q62" i="39" s="1"/>
  <c r="Q49" i="39"/>
  <c r="Q80" i="39"/>
  <c r="Q95" i="39"/>
  <c r="Q82" i="39"/>
  <c r="Q85" i="39" s="1" a="1"/>
  <c r="Q85" i="39" s="1"/>
  <c r="Q91" i="39" a="1"/>
  <c r="Q91" i="39" s="1"/>
  <c r="Q97" i="39" a="1"/>
  <c r="Q97" i="39" s="1"/>
  <c r="Q76" i="39"/>
  <c r="Q46" i="39"/>
  <c r="Q83" i="39"/>
  <c r="Q77" i="39"/>
  <c r="Q92" i="39"/>
  <c r="Q98" i="39"/>
  <c r="Q89" i="39"/>
  <c r="Q86" i="39"/>
  <c r="AE13" i="39"/>
  <c r="AD96" i="39"/>
  <c r="AD84" i="39"/>
  <c r="AD78" i="39"/>
  <c r="AD79" i="39" a="1"/>
  <c r="AD79" i="39" s="1"/>
  <c r="AD90" i="39"/>
  <c r="AD59" i="39"/>
  <c r="AD66" i="39" s="1"/>
  <c r="AD55" i="39"/>
  <c r="AD65" i="39" s="1"/>
  <c r="AQ68" i="31"/>
  <c r="AO95" i="39"/>
  <c r="AO82" i="39"/>
  <c r="AO85" i="39" s="1" a="1"/>
  <c r="AO85" i="39" s="1"/>
  <c r="AO86" i="39"/>
  <c r="AO80" i="39"/>
  <c r="AO77" i="39"/>
  <c r="AO46" i="39"/>
  <c r="AO89" i="39"/>
  <c r="AO92" i="39"/>
  <c r="AO98" i="39"/>
  <c r="AO83" i="39"/>
  <c r="AO91" i="39" a="1"/>
  <c r="AO91" i="39" s="1"/>
  <c r="AO76" i="39"/>
  <c r="AO97" i="39" a="1"/>
  <c r="AO97" i="39" s="1"/>
  <c r="AG41" i="31"/>
  <c r="AE49" i="39" l="1"/>
  <c r="AE52" i="39"/>
  <c r="AE62" i="39" s="1"/>
  <c r="AG62" i="31"/>
  <c r="AR53" i="31"/>
  <c r="AR56" i="31" s="1"/>
  <c r="Q55" i="39"/>
  <c r="Q65" i="39" s="1"/>
  <c r="Q59" i="39"/>
  <c r="Q66" i="39" s="1"/>
  <c r="Q90" i="39"/>
  <c r="Q96" i="39"/>
  <c r="Q79" i="39" a="1"/>
  <c r="Q79" i="39" s="1"/>
  <c r="Q84" i="39"/>
  <c r="Q78" i="39"/>
  <c r="AP13" i="39"/>
  <c r="AE98" i="39"/>
  <c r="AE46" i="39"/>
  <c r="AE97" i="39" a="1"/>
  <c r="AE97" i="39" s="1"/>
  <c r="AE76" i="39"/>
  <c r="AE95" i="39"/>
  <c r="AE80" i="39"/>
  <c r="AE92" i="39"/>
  <c r="AE89" i="39"/>
  <c r="AE77" i="39"/>
  <c r="AE86" i="39"/>
  <c r="AE91" i="39" a="1"/>
  <c r="AE91" i="39" s="1"/>
  <c r="AE83" i="39"/>
  <c r="AE82" i="39"/>
  <c r="AE85" i="39" s="1" a="1"/>
  <c r="AE85" i="39" s="1"/>
  <c r="AO55" i="39"/>
  <c r="AO65" i="39" s="1"/>
  <c r="AO62" i="39"/>
  <c r="AO66" i="39" s="1"/>
  <c r="AO78" i="39"/>
  <c r="AO96" i="39"/>
  <c r="AO84" i="39"/>
  <c r="AO90" i="39"/>
  <c r="AO79" i="39" a="1"/>
  <c r="AO79" i="39" s="1"/>
  <c r="AG68" i="31"/>
  <c r="AR41" i="31"/>
  <c r="AR65" i="31" l="1"/>
  <c r="P50" i="31"/>
  <c r="P56" i="31" s="1"/>
  <c r="AP49" i="39"/>
  <c r="AP59" i="39" s="1"/>
  <c r="AP52" i="39"/>
  <c r="AE84" i="39"/>
  <c r="AE78" i="39"/>
  <c r="AE79" i="39" a="1"/>
  <c r="AE79" i="39" s="1"/>
  <c r="AE96" i="39"/>
  <c r="AE90" i="39"/>
  <c r="AE55" i="39"/>
  <c r="AE65" i="39" s="1"/>
  <c r="AE59" i="39"/>
  <c r="AE66" i="39" s="1"/>
  <c r="AR68" i="31"/>
  <c r="AP92" i="39"/>
  <c r="AP82" i="39"/>
  <c r="AP85" i="39" s="1" a="1"/>
  <c r="AP85" i="39" s="1"/>
  <c r="AP86" i="39"/>
  <c r="AP97" i="39" a="1"/>
  <c r="AP97" i="39" s="1"/>
  <c r="AP91" i="39" a="1"/>
  <c r="AP91" i="39" s="1"/>
  <c r="AP98" i="39"/>
  <c r="AP89" i="39"/>
  <c r="AP80" i="39"/>
  <c r="AP76" i="39"/>
  <c r="AP46" i="39"/>
  <c r="AP95" i="39"/>
  <c r="AP83" i="39"/>
  <c r="AP77" i="39"/>
  <c r="P41" i="31"/>
  <c r="AJ50" i="31" l="1"/>
  <c r="AJ56" i="31" s="1"/>
  <c r="P62" i="31"/>
  <c r="AH13" i="39"/>
  <c r="AP90" i="39"/>
  <c r="AP96" i="39"/>
  <c r="AP78" i="39"/>
  <c r="AP79" i="39" a="1"/>
  <c r="AP79" i="39" s="1"/>
  <c r="AP84" i="39"/>
  <c r="AP55" i="39"/>
  <c r="AP65" i="39" s="1"/>
  <c r="AP62" i="39"/>
  <c r="AP66" i="39" s="1"/>
  <c r="P68" i="31"/>
  <c r="AJ41" i="31"/>
  <c r="AH49" i="39" l="1"/>
  <c r="AH52" i="39"/>
  <c r="AH62" i="39" s="1"/>
  <c r="AU53" i="31"/>
  <c r="AU56" i="31" s="1"/>
  <c r="AJ62" i="31"/>
  <c r="U13" i="39"/>
  <c r="AS13" i="39"/>
  <c r="AJ68" i="31"/>
  <c r="AH89" i="39"/>
  <c r="AH46" i="39"/>
  <c r="AH77" i="39"/>
  <c r="AH80" i="39"/>
  <c r="AH91" i="39" a="1"/>
  <c r="AH91" i="39" s="1"/>
  <c r="AH98" i="39"/>
  <c r="AH76" i="39"/>
  <c r="AH95" i="39"/>
  <c r="AH86" i="39"/>
  <c r="AH97" i="39" a="1"/>
  <c r="AH97" i="39" s="1"/>
  <c r="AH82" i="39"/>
  <c r="AH85" i="39" s="1" a="1"/>
  <c r="AH85" i="39" s="1"/>
  <c r="AH83" i="39"/>
  <c r="AH92" i="39"/>
  <c r="AU41" i="31"/>
  <c r="AU65" i="31" l="1"/>
  <c r="AM50" i="31"/>
  <c r="AM56" i="31" s="1"/>
  <c r="AS49" i="39"/>
  <c r="AS59" i="39" s="1"/>
  <c r="AS52" i="39"/>
  <c r="U52" i="39"/>
  <c r="U62" i="39" s="1"/>
  <c r="U49" i="39"/>
  <c r="U95" i="39"/>
  <c r="U46" i="39"/>
  <c r="U91" i="39" a="1"/>
  <c r="U91" i="39" s="1"/>
  <c r="U86" i="39"/>
  <c r="U76" i="39"/>
  <c r="U80" i="39"/>
  <c r="U92" i="39"/>
  <c r="U89" i="39"/>
  <c r="U82" i="39"/>
  <c r="U85" i="39" s="1" a="1"/>
  <c r="U85" i="39" s="1"/>
  <c r="U77" i="39"/>
  <c r="U83" i="39"/>
  <c r="U97" i="39" a="1"/>
  <c r="U97" i="39" s="1"/>
  <c r="U98" i="39"/>
  <c r="AK13" i="39"/>
  <c r="AK49" i="39" s="1"/>
  <c r="AU68" i="31"/>
  <c r="AH55" i="39"/>
  <c r="AH65" i="39" s="1"/>
  <c r="AH59" i="39"/>
  <c r="AH66" i="39" s="1"/>
  <c r="AH79" i="39" a="1"/>
  <c r="AH79" i="39" s="1"/>
  <c r="AH96" i="39"/>
  <c r="AH90" i="39"/>
  <c r="AH84" i="39"/>
  <c r="AH78" i="39"/>
  <c r="AS86" i="39"/>
  <c r="AS82" i="39"/>
  <c r="AS85" i="39" s="1" a="1"/>
  <c r="AS85" i="39" s="1"/>
  <c r="AS98" i="39"/>
  <c r="AS92" i="39"/>
  <c r="AS80" i="39"/>
  <c r="AS97" i="39" a="1"/>
  <c r="AS97" i="39" s="1"/>
  <c r="AS77" i="39"/>
  <c r="AS46" i="39"/>
  <c r="AS95" i="39"/>
  <c r="AS91" i="39" a="1"/>
  <c r="AS91" i="39" s="1"/>
  <c r="AS89" i="39"/>
  <c r="AS76" i="39"/>
  <c r="AS83" i="39"/>
  <c r="AM41" i="31"/>
  <c r="AM62" i="31" l="1"/>
  <c r="AB50" i="31"/>
  <c r="AB56" i="31" s="1"/>
  <c r="U84" i="39"/>
  <c r="U90" i="39"/>
  <c r="U79" i="39" a="1"/>
  <c r="U79" i="39" s="1"/>
  <c r="U96" i="39"/>
  <c r="U78" i="39"/>
  <c r="U55" i="39"/>
  <c r="U65" i="39" s="1"/>
  <c r="U59" i="39"/>
  <c r="U66" i="39" s="1"/>
  <c r="Z13" i="39"/>
  <c r="AS78" i="39"/>
  <c r="AS90" i="39"/>
  <c r="AS96" i="39"/>
  <c r="AS79" i="39" a="1"/>
  <c r="AS79" i="39" s="1"/>
  <c r="AS84" i="39"/>
  <c r="AS55" i="39"/>
  <c r="AS65" i="39" s="1"/>
  <c r="AS62" i="39"/>
  <c r="AS66" i="39" s="1"/>
  <c r="AM68" i="31"/>
  <c r="AK77" i="39"/>
  <c r="AK82" i="39"/>
  <c r="AK85" i="39" s="1" a="1"/>
  <c r="AK85" i="39" s="1"/>
  <c r="AK86" i="39"/>
  <c r="AK92" i="39"/>
  <c r="AK98" i="39"/>
  <c r="AK80" i="39"/>
  <c r="AK97" i="39" a="1"/>
  <c r="AK97" i="39" s="1"/>
  <c r="AK89" i="39"/>
  <c r="AK91" i="39" a="1"/>
  <c r="AK91" i="39" s="1"/>
  <c r="AK83" i="39"/>
  <c r="AK76" i="39"/>
  <c r="AK46" i="39"/>
  <c r="AK95" i="39"/>
  <c r="AB41" i="31"/>
  <c r="AB62" i="31" l="1"/>
  <c r="T50" i="31"/>
  <c r="T56" i="31" s="1"/>
  <c r="Z49" i="39"/>
  <c r="Z52" i="39"/>
  <c r="Z62" i="39" s="1"/>
  <c r="R13" i="39"/>
  <c r="AK84" i="39"/>
  <c r="AK96" i="39"/>
  <c r="AK90" i="39"/>
  <c r="AK79" i="39" a="1"/>
  <c r="AK79" i="39" s="1"/>
  <c r="AK78" i="39"/>
  <c r="AK55" i="39"/>
  <c r="AK65" i="39" s="1"/>
  <c r="AK59" i="39"/>
  <c r="AK66" i="39" s="1"/>
  <c r="AB68" i="31"/>
  <c r="Z80" i="39"/>
  <c r="Z77" i="39"/>
  <c r="Z86" i="39"/>
  <c r="Z82" i="39"/>
  <c r="Z85" i="39" s="1" a="1"/>
  <c r="Z85" i="39" s="1"/>
  <c r="Z76" i="39"/>
  <c r="Z46" i="39"/>
  <c r="Z91" i="39" a="1"/>
  <c r="Z91" i="39" s="1"/>
  <c r="Z98" i="39"/>
  <c r="Z89" i="39"/>
  <c r="Z95" i="39"/>
  <c r="Z83" i="39"/>
  <c r="Z92" i="39"/>
  <c r="Z97" i="39" a="1"/>
  <c r="Z97" i="39" s="1"/>
  <c r="T41" i="31"/>
  <c r="T62" i="31" l="1"/>
  <c r="AT53" i="31"/>
  <c r="AT56" i="31" s="1"/>
  <c r="R52" i="39"/>
  <c r="R62" i="39" s="1"/>
  <c r="R49" i="39"/>
  <c r="T13" i="39"/>
  <c r="AR13" i="39"/>
  <c r="Z59" i="39"/>
  <c r="Z66" i="39" s="1"/>
  <c r="Z55" i="39"/>
  <c r="Z65" i="39" s="1"/>
  <c r="Z79" i="39" a="1"/>
  <c r="Z79" i="39" s="1"/>
  <c r="Z84" i="39"/>
  <c r="Z78" i="39"/>
  <c r="Z96" i="39"/>
  <c r="Z90" i="39"/>
  <c r="T68" i="31"/>
  <c r="R83" i="39"/>
  <c r="R98" i="39"/>
  <c r="R80" i="39"/>
  <c r="R91" i="39" a="1"/>
  <c r="R91" i="39" s="1"/>
  <c r="R82" i="39"/>
  <c r="R85" i="39" s="1" a="1"/>
  <c r="R85" i="39" s="1"/>
  <c r="R76" i="39"/>
  <c r="R86" i="39"/>
  <c r="R77" i="39"/>
  <c r="R46" i="39"/>
  <c r="R95" i="39"/>
  <c r="R92" i="39"/>
  <c r="R89" i="39"/>
  <c r="R97" i="39" a="1"/>
  <c r="R97" i="39" s="1"/>
  <c r="AT41" i="31"/>
  <c r="O50" i="31" l="1"/>
  <c r="O56" i="31" s="1"/>
  <c r="AT65" i="31"/>
  <c r="T52" i="39"/>
  <c r="T62" i="39" s="1"/>
  <c r="T49" i="39"/>
  <c r="AR49" i="39"/>
  <c r="AR59" i="39" s="1"/>
  <c r="AR52" i="39"/>
  <c r="T46" i="39"/>
  <c r="T97" i="39" a="1"/>
  <c r="T97" i="39" s="1"/>
  <c r="T82" i="39"/>
  <c r="T85" i="39" s="1" a="1"/>
  <c r="T85" i="39" s="1"/>
  <c r="T77" i="39"/>
  <c r="T91" i="39" a="1"/>
  <c r="T91" i="39" s="1"/>
  <c r="T92" i="39"/>
  <c r="T95" i="39"/>
  <c r="T80" i="39"/>
  <c r="T98" i="39"/>
  <c r="T86" i="39"/>
  <c r="T89" i="39"/>
  <c r="T76" i="39"/>
  <c r="T83" i="39"/>
  <c r="M13" i="39"/>
  <c r="R55" i="39"/>
  <c r="R65" i="39" s="1"/>
  <c r="R59" i="39"/>
  <c r="R66" i="39" s="1"/>
  <c r="R79" i="39" a="1"/>
  <c r="R79" i="39" s="1"/>
  <c r="R90" i="39"/>
  <c r="R78" i="39"/>
  <c r="R96" i="39"/>
  <c r="R84" i="39"/>
  <c r="AT68" i="31"/>
  <c r="AR89" i="39"/>
  <c r="AR83" i="39"/>
  <c r="AR86" i="39"/>
  <c r="AR46" i="39"/>
  <c r="AR80" i="39"/>
  <c r="AR91" i="39" a="1"/>
  <c r="AR91" i="39" s="1"/>
  <c r="AR76" i="39"/>
  <c r="AR82" i="39"/>
  <c r="AR85" i="39" s="1" a="1"/>
  <c r="AR85" i="39" s="1"/>
  <c r="AR77" i="39"/>
  <c r="AR92" i="39"/>
  <c r="AR95" i="39"/>
  <c r="AR98" i="39"/>
  <c r="AR97" i="39" a="1"/>
  <c r="AR97" i="39" s="1"/>
  <c r="O41" i="31"/>
  <c r="O62" i="31" l="1"/>
  <c r="AP53" i="31"/>
  <c r="AP65" i="31" s="1"/>
  <c r="M62" i="39"/>
  <c r="M49" i="39"/>
  <c r="P13" i="39"/>
  <c r="T55" i="39"/>
  <c r="T65" i="39" s="1"/>
  <c r="T59" i="39"/>
  <c r="T66" i="39" s="1"/>
  <c r="T90" i="39"/>
  <c r="T96" i="39"/>
  <c r="T79" i="39" a="1"/>
  <c r="T79" i="39" s="1"/>
  <c r="T78" i="39"/>
  <c r="T84" i="39"/>
  <c r="AN13" i="39"/>
  <c r="AR90" i="39"/>
  <c r="AR96" i="39"/>
  <c r="AR84" i="39"/>
  <c r="AR78" i="39"/>
  <c r="AR79" i="39" a="1"/>
  <c r="AR79" i="39" s="1"/>
  <c r="AR62" i="39"/>
  <c r="AR66" i="39" s="1"/>
  <c r="AR55" i="39"/>
  <c r="AR65" i="39" s="1"/>
  <c r="O68" i="31"/>
  <c r="M95" i="39"/>
  <c r="M82" i="39"/>
  <c r="M85" i="39" s="1" a="1"/>
  <c r="M85" i="39" s="1"/>
  <c r="M92" i="39"/>
  <c r="M80" i="39"/>
  <c r="M97" i="39" a="1"/>
  <c r="M97" i="39" s="1"/>
  <c r="M89" i="39"/>
  <c r="M83" i="39"/>
  <c r="M98" i="39"/>
  <c r="M86" i="39"/>
  <c r="M91" i="39" a="1"/>
  <c r="M91" i="39" s="1"/>
  <c r="M46" i="39"/>
  <c r="M76" i="39"/>
  <c r="M77" i="39"/>
  <c r="AP41" i="31"/>
  <c r="AI50" i="31" l="1"/>
  <c r="AI56" i="31" s="1"/>
  <c r="AP56" i="31"/>
  <c r="AP68" i="31" s="1"/>
  <c r="AN49" i="39"/>
  <c r="AN59" i="39" s="1"/>
  <c r="AN52" i="39"/>
  <c r="P52" i="39"/>
  <c r="P62" i="39" s="1"/>
  <c r="P49" i="39"/>
  <c r="P95" i="39"/>
  <c r="P80" i="39"/>
  <c r="P83" i="39"/>
  <c r="P97" i="39" a="1"/>
  <c r="P97" i="39" s="1"/>
  <c r="P98" i="39"/>
  <c r="P77" i="39"/>
  <c r="P76" i="39"/>
  <c r="P86" i="39"/>
  <c r="P89" i="39"/>
  <c r="P92" i="39"/>
  <c r="P46" i="39"/>
  <c r="P82" i="39"/>
  <c r="P85" i="39" s="1" a="1"/>
  <c r="P85" i="39" s="1"/>
  <c r="P91" i="39" a="1"/>
  <c r="P91" i="39" s="1"/>
  <c r="AG13" i="39"/>
  <c r="M55" i="39"/>
  <c r="M65" i="39" s="1"/>
  <c r="M59" i="39"/>
  <c r="M66" i="39" s="1"/>
  <c r="M90" i="39"/>
  <c r="M78" i="39"/>
  <c r="M96" i="39"/>
  <c r="M84" i="39"/>
  <c r="M79" i="39" a="1"/>
  <c r="M79" i="39" s="1"/>
  <c r="AN83" i="39"/>
  <c r="AN98" i="39"/>
  <c r="AN86" i="39"/>
  <c r="AN82" i="39"/>
  <c r="AN85" i="39" s="1" a="1"/>
  <c r="AN85" i="39" s="1"/>
  <c r="AN80" i="39"/>
  <c r="AN46" i="39"/>
  <c r="AN95" i="39"/>
  <c r="AN77" i="39"/>
  <c r="AN97" i="39" a="1"/>
  <c r="AN97" i="39" s="1"/>
  <c r="AN92" i="39"/>
  <c r="AN89" i="39"/>
  <c r="AN76" i="39"/>
  <c r="AN91" i="39" a="1"/>
  <c r="AN91" i="39" s="1"/>
  <c r="AI41" i="31"/>
  <c r="AG49" i="39" l="1"/>
  <c r="AG52" i="39"/>
  <c r="AG62" i="39" s="1"/>
  <c r="AI62" i="31"/>
  <c r="AD50" i="31"/>
  <c r="AD56" i="31" s="1"/>
  <c r="P79" i="39" a="1"/>
  <c r="P79" i="39" s="1"/>
  <c r="P96" i="39"/>
  <c r="P78" i="39"/>
  <c r="P84" i="39"/>
  <c r="P90" i="39"/>
  <c r="P59" i="39"/>
  <c r="P66" i="39" s="1"/>
  <c r="P55" i="39"/>
  <c r="P65" i="39" s="1"/>
  <c r="AB13" i="39"/>
  <c r="AN55" i="39"/>
  <c r="AN65" i="39" s="1"/>
  <c r="AN62" i="39"/>
  <c r="AN66" i="39" s="1"/>
  <c r="AN78" i="39"/>
  <c r="AN84" i="39"/>
  <c r="AN79" i="39" a="1"/>
  <c r="AN79" i="39" s="1"/>
  <c r="AN96" i="39"/>
  <c r="AN90" i="39"/>
  <c r="AI68" i="31"/>
  <c r="AG86" i="39"/>
  <c r="AG97" i="39" a="1"/>
  <c r="AG97" i="39" s="1"/>
  <c r="AG98" i="39"/>
  <c r="AG91" i="39" a="1"/>
  <c r="AG91" i="39" s="1"/>
  <c r="AG76" i="39"/>
  <c r="AG82" i="39"/>
  <c r="AG85" i="39" s="1" a="1"/>
  <c r="AG85" i="39" s="1"/>
  <c r="AG80" i="39"/>
  <c r="AG83" i="39"/>
  <c r="AG77" i="39"/>
  <c r="AG95" i="39"/>
  <c r="AG92" i="39"/>
  <c r="AG46" i="39"/>
  <c r="AG89" i="39"/>
  <c r="AD41" i="31"/>
  <c r="AD62" i="31" l="1"/>
  <c r="AS53" i="31"/>
  <c r="AS65" i="31" s="1"/>
  <c r="AB49" i="39"/>
  <c r="AB52" i="39"/>
  <c r="AB62" i="39" s="1"/>
  <c r="S13" i="39"/>
  <c r="AQ13" i="39"/>
  <c r="AD68" i="31"/>
  <c r="AG90" i="39"/>
  <c r="AG96" i="39"/>
  <c r="AG78" i="39"/>
  <c r="AG84" i="39"/>
  <c r="AG79" i="39" a="1"/>
  <c r="AG79" i="39" s="1"/>
  <c r="AG59" i="39"/>
  <c r="AG66" i="39" s="1"/>
  <c r="AG55" i="39"/>
  <c r="AG65" i="39" s="1"/>
  <c r="AB83" i="39"/>
  <c r="AB77" i="39"/>
  <c r="AB95" i="39"/>
  <c r="AB89" i="39"/>
  <c r="AB86" i="39"/>
  <c r="AB82" i="39"/>
  <c r="AB85" i="39" s="1" a="1"/>
  <c r="AB85" i="39" s="1"/>
  <c r="AB80" i="39"/>
  <c r="AB76" i="39"/>
  <c r="AB92" i="39"/>
  <c r="AB91" i="39" a="1"/>
  <c r="AB91" i="39" s="1"/>
  <c r="AB46" i="39"/>
  <c r="AB98" i="39"/>
  <c r="AB97" i="39" a="1"/>
  <c r="AB97" i="39" s="1"/>
  <c r="AS41" i="31"/>
  <c r="AA50" i="31" l="1"/>
  <c r="AA56" i="31" s="1"/>
  <c r="AS56" i="31"/>
  <c r="AS68" i="31" s="1"/>
  <c r="L53" i="31"/>
  <c r="M53" i="31" s="1"/>
  <c r="AQ49" i="39"/>
  <c r="AQ59" i="39" s="1"/>
  <c r="AQ52" i="39"/>
  <c r="S52" i="39"/>
  <c r="S62" i="39" s="1"/>
  <c r="S49" i="39"/>
  <c r="S82" i="39"/>
  <c r="S85" i="39" s="1" a="1"/>
  <c r="S85" i="39" s="1"/>
  <c r="S76" i="39"/>
  <c r="S46" i="39"/>
  <c r="S97" i="39" a="1"/>
  <c r="S97" i="39" s="1"/>
  <c r="S77" i="39"/>
  <c r="S92" i="39"/>
  <c r="S98" i="39"/>
  <c r="S95" i="39"/>
  <c r="S80" i="39"/>
  <c r="S83" i="39"/>
  <c r="S86" i="39"/>
  <c r="S89" i="39"/>
  <c r="S91" i="39" a="1"/>
  <c r="S91" i="39" s="1"/>
  <c r="Y13" i="39"/>
  <c r="AB78" i="39"/>
  <c r="AB79" i="39" a="1"/>
  <c r="AB79" i="39" s="1"/>
  <c r="AB96" i="39"/>
  <c r="AB90" i="39"/>
  <c r="AB84" i="39"/>
  <c r="AB59" i="39"/>
  <c r="AB66" i="39" s="1"/>
  <c r="AB55" i="39"/>
  <c r="AB65" i="39" s="1"/>
  <c r="AQ98" i="39"/>
  <c r="AQ91" i="39" a="1"/>
  <c r="AQ91" i="39" s="1"/>
  <c r="AQ92" i="39"/>
  <c r="AQ86" i="39"/>
  <c r="AQ77" i="39"/>
  <c r="AQ82" i="39"/>
  <c r="AQ85" i="39" s="1" a="1"/>
  <c r="AQ85" i="39" s="1"/>
  <c r="AQ89" i="39"/>
  <c r="AQ76" i="39"/>
  <c r="AQ80" i="39"/>
  <c r="AQ83" i="39"/>
  <c r="AQ95" i="39"/>
  <c r="AQ46" i="39"/>
  <c r="AQ97" i="39" a="1"/>
  <c r="AQ97" i="39" s="1"/>
  <c r="AA41" i="31"/>
  <c r="L65" i="31" l="1"/>
  <c r="AA62" i="31"/>
  <c r="AN50" i="31"/>
  <c r="AN56" i="31" s="1"/>
  <c r="Y49" i="39"/>
  <c r="Y52" i="39"/>
  <c r="Y62" i="39" s="1"/>
  <c r="N13" i="39"/>
  <c r="S78" i="39"/>
  <c r="S84" i="39"/>
  <c r="S79" i="39" a="1"/>
  <c r="S79" i="39" s="1"/>
  <c r="S96" i="39"/>
  <c r="S90" i="39"/>
  <c r="S59" i="39"/>
  <c r="S66" i="39" s="1"/>
  <c r="S55" i="39"/>
  <c r="S65" i="39" s="1"/>
  <c r="AL13" i="39"/>
  <c r="AL49" i="39" s="1"/>
  <c r="M65" i="31"/>
  <c r="AQ55" i="39"/>
  <c r="AQ65" i="39" s="1"/>
  <c r="AQ62" i="39"/>
  <c r="AQ66" i="39" s="1"/>
  <c r="J52" i="39"/>
  <c r="AA68" i="31"/>
  <c r="AQ96" i="39"/>
  <c r="AQ78" i="39"/>
  <c r="AQ90" i="39"/>
  <c r="AQ79" i="39" a="1"/>
  <c r="AQ79" i="39" s="1"/>
  <c r="AQ84" i="39"/>
  <c r="Y92" i="39"/>
  <c r="Y82" i="39"/>
  <c r="Y85" i="39" s="1" a="1"/>
  <c r="Y85" i="39" s="1"/>
  <c r="Y76" i="39"/>
  <c r="Y97" i="39" a="1"/>
  <c r="Y97" i="39" s="1"/>
  <c r="Y91" i="39" a="1"/>
  <c r="Y91" i="39" s="1"/>
  <c r="Y83" i="39"/>
  <c r="Y98" i="39"/>
  <c r="Y46" i="39"/>
  <c r="Y86" i="39"/>
  <c r="Y80" i="39"/>
  <c r="Y77" i="39"/>
  <c r="Y95" i="39"/>
  <c r="Y89" i="39"/>
  <c r="AN41" i="31"/>
  <c r="AN62" i="31" l="1"/>
  <c r="AL50" i="31"/>
  <c r="AL62" i="31" s="1"/>
  <c r="N62" i="39"/>
  <c r="N49" i="39"/>
  <c r="N77" i="39"/>
  <c r="N89" i="39"/>
  <c r="N97" i="39" a="1"/>
  <c r="N97" i="39" s="1"/>
  <c r="N46" i="39"/>
  <c r="N98" i="39"/>
  <c r="N92" i="39"/>
  <c r="N76" i="39"/>
  <c r="N91" i="39" a="1"/>
  <c r="N91" i="39" s="1"/>
  <c r="N86" i="39"/>
  <c r="N83" i="39"/>
  <c r="N95" i="39"/>
  <c r="N80" i="39"/>
  <c r="N82" i="39"/>
  <c r="N85" i="39" s="1" a="1"/>
  <c r="N85" i="39" s="1"/>
  <c r="AJ13" i="39"/>
  <c r="AJ49" i="39" s="1"/>
  <c r="AL41" i="31"/>
  <c r="Y59" i="39"/>
  <c r="Y66" i="39" s="1"/>
  <c r="Y55" i="39"/>
  <c r="Y65" i="39" s="1"/>
  <c r="Y96" i="39"/>
  <c r="Y84" i="39"/>
  <c r="Y78" i="39"/>
  <c r="Y90" i="39"/>
  <c r="Y79" i="39" a="1"/>
  <c r="Y79" i="39" s="1"/>
  <c r="AN68" i="31"/>
  <c r="AL89" i="39"/>
  <c r="AL92" i="39"/>
  <c r="AL95" i="39"/>
  <c r="AL80" i="39"/>
  <c r="AL77" i="39"/>
  <c r="AL76" i="39"/>
  <c r="AL82" i="39"/>
  <c r="AL85" i="39" s="1" a="1"/>
  <c r="AL85" i="39" s="1"/>
  <c r="AL98" i="39"/>
  <c r="AL46" i="39"/>
  <c r="AL83" i="39"/>
  <c r="AL86" i="39"/>
  <c r="AL97" i="39" a="1"/>
  <c r="AL97" i="39" s="1"/>
  <c r="AL91" i="39" a="1"/>
  <c r="AL91" i="39" s="1"/>
  <c r="L41" i="31"/>
  <c r="Z50" i="31" l="1"/>
  <c r="Z62" i="31" s="1"/>
  <c r="L50" i="31"/>
  <c r="L56" i="31" s="1"/>
  <c r="AL56" i="31"/>
  <c r="AL68" i="31" s="1"/>
  <c r="N55" i="39"/>
  <c r="N65" i="39" s="1"/>
  <c r="N59" i="39"/>
  <c r="N66" i="39" s="1"/>
  <c r="N84" i="39"/>
  <c r="N78" i="39"/>
  <c r="N96" i="39"/>
  <c r="N90" i="39"/>
  <c r="N79" i="39" a="1"/>
  <c r="N79" i="39" s="1"/>
  <c r="X13" i="39"/>
  <c r="Z41" i="31"/>
  <c r="AL79" i="39" a="1"/>
  <c r="AL79" i="39" s="1"/>
  <c r="AL78" i="39"/>
  <c r="AL90" i="39"/>
  <c r="AL96" i="39"/>
  <c r="AL84" i="39"/>
  <c r="AL55" i="39"/>
  <c r="AL65" i="39" s="1"/>
  <c r="AL59" i="39"/>
  <c r="AL66" i="39" s="1"/>
  <c r="H9" i="41"/>
  <c r="AJ97" i="39" a="1"/>
  <c r="AJ97" i="39" s="1"/>
  <c r="AJ92" i="39"/>
  <c r="AJ86" i="39"/>
  <c r="AJ98" i="39"/>
  <c r="AJ77" i="39"/>
  <c r="AJ46" i="39"/>
  <c r="AJ82" i="39"/>
  <c r="AJ85" i="39" s="1" a="1"/>
  <c r="AJ85" i="39" s="1"/>
  <c r="AJ89" i="39"/>
  <c r="AJ95" i="39"/>
  <c r="AJ80" i="39"/>
  <c r="AJ83" i="39"/>
  <c r="AJ76" i="39"/>
  <c r="AJ91" i="39" a="1"/>
  <c r="AJ91" i="39" s="1"/>
  <c r="AC50" i="31" l="1"/>
  <c r="AC56" i="31" s="1"/>
  <c r="Z56" i="31"/>
  <c r="Z68" i="31" s="1"/>
  <c r="L44" i="41"/>
  <c r="O44" i="41" s="1"/>
  <c r="R44" i="41" s="1"/>
  <c r="L62" i="31"/>
  <c r="X49" i="39"/>
  <c r="X52" i="39"/>
  <c r="U9" i="41"/>
  <c r="X9" i="41"/>
  <c r="AA9" i="41"/>
  <c r="H46" i="41"/>
  <c r="H45" i="41"/>
  <c r="AA13" i="39"/>
  <c r="AA52" i="39" s="1"/>
  <c r="AA62" i="39" s="1"/>
  <c r="AJ84" i="39"/>
  <c r="AJ96" i="39"/>
  <c r="AJ78" i="39"/>
  <c r="AJ90" i="39"/>
  <c r="AJ79" i="39" a="1"/>
  <c r="AJ79" i="39" s="1"/>
  <c r="AJ55" i="39"/>
  <c r="AJ65" i="39" s="1"/>
  <c r="J49" i="39"/>
  <c r="AJ59" i="39"/>
  <c r="AJ66" i="39" s="1"/>
  <c r="L68" i="31"/>
  <c r="X86" i="39"/>
  <c r="X98" i="39"/>
  <c r="X46" i="39"/>
  <c r="X89" i="39"/>
  <c r="X80" i="39"/>
  <c r="X77" i="39"/>
  <c r="X76" i="39"/>
  <c r="X82" i="39"/>
  <c r="X85" i="39" s="1" a="1"/>
  <c r="X85" i="39" s="1"/>
  <c r="X97" i="39" a="1"/>
  <c r="X97" i="39" s="1"/>
  <c r="X83" i="39"/>
  <c r="X92" i="39"/>
  <c r="X95" i="39"/>
  <c r="X91" i="39" a="1"/>
  <c r="X91" i="39" s="1"/>
  <c r="AC41" i="31"/>
  <c r="S44" i="41" l="1"/>
  <c r="V44" i="41" s="1"/>
  <c r="Y44" i="41" s="1"/>
  <c r="AC62" i="31"/>
  <c r="N50" i="31"/>
  <c r="K50" i="31"/>
  <c r="K56" i="31" s="1"/>
  <c r="I52" i="39"/>
  <c r="X62" i="39"/>
  <c r="I13" i="39"/>
  <c r="I95" i="39" s="1"/>
  <c r="F28" i="40" s="1"/>
  <c r="AA49" i="39"/>
  <c r="H47" i="41"/>
  <c r="L13" i="39"/>
  <c r="L49" i="39" s="1"/>
  <c r="I4" i="31"/>
  <c r="N41" i="31"/>
  <c r="K41" i="31"/>
  <c r="G9" i="41"/>
  <c r="J55" i="39"/>
  <c r="AC68" i="31"/>
  <c r="X59" i="39"/>
  <c r="X55" i="39"/>
  <c r="X65" i="39" s="1"/>
  <c r="X84" i="39"/>
  <c r="X90" i="39"/>
  <c r="X79" i="39" a="1"/>
  <c r="X79" i="39" s="1"/>
  <c r="X78" i="39"/>
  <c r="X96" i="39"/>
  <c r="AA82" i="39"/>
  <c r="AA85" i="39" s="1" a="1"/>
  <c r="AA85" i="39" s="1"/>
  <c r="AA97" i="39" a="1"/>
  <c r="AA97" i="39" s="1"/>
  <c r="AA91" i="39" a="1"/>
  <c r="AA91" i="39" s="1"/>
  <c r="AA76" i="39"/>
  <c r="AA46" i="39"/>
  <c r="AA95" i="39"/>
  <c r="AA98" i="39"/>
  <c r="AA83" i="39"/>
  <c r="AA92" i="39"/>
  <c r="AA77" i="39"/>
  <c r="AA86" i="39"/>
  <c r="AA89" i="39"/>
  <c r="AA80" i="39"/>
  <c r="X66" i="39" l="1"/>
  <c r="N56" i="31"/>
  <c r="J50" i="31"/>
  <c r="I49" i="31"/>
  <c r="N62" i="31"/>
  <c r="K44" i="41"/>
  <c r="N44" i="41" s="1"/>
  <c r="Q44" i="41" s="1"/>
  <c r="U44" i="41" s="1"/>
  <c r="X44" i="41" s="1"/>
  <c r="AA44" i="41" s="1"/>
  <c r="K62" i="31"/>
  <c r="I97" i="39" a="1"/>
  <c r="I97" i="39" s="1"/>
  <c r="F30" i="40" s="1"/>
  <c r="I89" i="39"/>
  <c r="F22" i="40" s="1"/>
  <c r="I86" i="39"/>
  <c r="F19" i="40" s="1"/>
  <c r="I91" i="39" a="1"/>
  <c r="I91" i="39" s="1"/>
  <c r="F24" i="40" s="1"/>
  <c r="I80" i="39"/>
  <c r="F13" i="40" s="1"/>
  <c r="I83" i="39"/>
  <c r="F16" i="40" s="1"/>
  <c r="I77" i="39"/>
  <c r="F10" i="40" s="1"/>
  <c r="I82" i="39"/>
  <c r="F15" i="40" s="1"/>
  <c r="I98" i="39"/>
  <c r="F31" i="40" s="1"/>
  <c r="I92" i="39"/>
  <c r="F25" i="40" s="1"/>
  <c r="I76" i="39"/>
  <c r="F9" i="40" s="1"/>
  <c r="I46" i="39"/>
  <c r="I58" i="39" s="1"/>
  <c r="H52" i="39"/>
  <c r="L62" i="39"/>
  <c r="Z9" i="41"/>
  <c r="T9" i="41"/>
  <c r="W9" i="41"/>
  <c r="G46" i="41"/>
  <c r="G45" i="41"/>
  <c r="F9" i="41"/>
  <c r="J41" i="31"/>
  <c r="AA55" i="39"/>
  <c r="AA65" i="39" s="1"/>
  <c r="AA59" i="39"/>
  <c r="AA66" i="39" s="1"/>
  <c r="I49" i="39"/>
  <c r="K68" i="31"/>
  <c r="M41" i="31"/>
  <c r="N68" i="31"/>
  <c r="AA79" i="39" a="1"/>
  <c r="AA79" i="39" s="1"/>
  <c r="AA84" i="39"/>
  <c r="AA96" i="39"/>
  <c r="AA90" i="39"/>
  <c r="AA78" i="39"/>
  <c r="J13" i="39"/>
  <c r="H13" i="39"/>
  <c r="H46" i="39" s="1"/>
  <c r="H58" i="39" s="1"/>
  <c r="L83" i="39"/>
  <c r="L91" i="39" a="1"/>
  <c r="L91" i="39" s="1"/>
  <c r="L80" i="39"/>
  <c r="L95" i="39"/>
  <c r="L97" i="39" a="1"/>
  <c r="L97" i="39" s="1"/>
  <c r="L46" i="39"/>
  <c r="L98" i="39"/>
  <c r="L92" i="39"/>
  <c r="L77" i="39"/>
  <c r="L76" i="39"/>
  <c r="K76" i="39" s="1"/>
  <c r="L89" i="39"/>
  <c r="L82" i="39"/>
  <c r="L86" i="39"/>
  <c r="G10" i="39"/>
  <c r="M50" i="31" l="1"/>
  <c r="M56" i="31" s="1"/>
  <c r="J56" i="31"/>
  <c r="J68" i="31" s="1"/>
  <c r="J44" i="41"/>
  <c r="M44" i="41" s="1"/>
  <c r="P44" i="41" s="1"/>
  <c r="T44" i="41" s="1"/>
  <c r="W44" i="41" s="1"/>
  <c r="Z44" i="41" s="1"/>
  <c r="J62" i="31"/>
  <c r="I90" i="39"/>
  <c r="F23" i="40" s="1"/>
  <c r="I78" i="39"/>
  <c r="F11" i="40" s="1"/>
  <c r="I64" i="39"/>
  <c r="I62" i="39"/>
  <c r="I60" i="39"/>
  <c r="I63" i="39"/>
  <c r="I61" i="39"/>
  <c r="I59" i="39"/>
  <c r="H64" i="39"/>
  <c r="H60" i="39"/>
  <c r="H63" i="39"/>
  <c r="H62" i="39"/>
  <c r="H61" i="39"/>
  <c r="I85" i="39" a="1"/>
  <c r="I85" i="39" s="1"/>
  <c r="F18" i="40" s="1"/>
  <c r="I84" i="39"/>
  <c r="I96" i="39"/>
  <c r="F29" i="40" s="1"/>
  <c r="I79" i="39" a="1"/>
  <c r="I79" i="39" s="1"/>
  <c r="F12" i="40" s="1"/>
  <c r="K52" i="39"/>
  <c r="Q9" i="41"/>
  <c r="M9" i="41"/>
  <c r="P9" i="41"/>
  <c r="L9" i="41"/>
  <c r="O9" i="41"/>
  <c r="K9" i="41"/>
  <c r="K46" i="41" s="1"/>
  <c r="K48" i="41" s="1"/>
  <c r="R9" i="41"/>
  <c r="N9" i="41"/>
  <c r="J9" i="41"/>
  <c r="V9" i="41"/>
  <c r="Y9" i="41"/>
  <c r="S9" i="41"/>
  <c r="AA46" i="41"/>
  <c r="AA45" i="41"/>
  <c r="G47" i="41"/>
  <c r="F46" i="41"/>
  <c r="I9" i="41"/>
  <c r="F45" i="41"/>
  <c r="H9" i="40"/>
  <c r="L96" i="39"/>
  <c r="L78" i="39"/>
  <c r="L84" i="39"/>
  <c r="L79" i="39" a="1"/>
  <c r="L79" i="39" s="1"/>
  <c r="L90" i="39"/>
  <c r="L85" i="39" a="1"/>
  <c r="L85" i="39" s="1"/>
  <c r="K82" i="39"/>
  <c r="L55" i="39"/>
  <c r="L65" i="39" s="1"/>
  <c r="H49" i="39"/>
  <c r="H59" i="39" s="1"/>
  <c r="L59" i="39"/>
  <c r="L66" i="39" s="1"/>
  <c r="G47" i="39"/>
  <c r="J86" i="39"/>
  <c r="G19" i="40" s="1"/>
  <c r="J76" i="39"/>
  <c r="G9" i="40" s="1"/>
  <c r="J98" i="39"/>
  <c r="G31" i="40" s="1"/>
  <c r="J91" i="39" a="1"/>
  <c r="J91" i="39" s="1"/>
  <c r="G24" i="40" s="1"/>
  <c r="J92" i="39"/>
  <c r="G25" i="40" s="1"/>
  <c r="J83" i="39"/>
  <c r="G83" i="39" s="1"/>
  <c r="J82" i="39"/>
  <c r="J89" i="39"/>
  <c r="G89" i="39" s="1"/>
  <c r="J77" i="39"/>
  <c r="J46" i="39"/>
  <c r="J80" i="39"/>
  <c r="G13" i="40" s="1"/>
  <c r="J95" i="39"/>
  <c r="G95" i="39" s="1"/>
  <c r="J97" i="39" a="1"/>
  <c r="J97" i="39" s="1"/>
  <c r="G30" i="40" s="1"/>
  <c r="K13" i="39"/>
  <c r="H92" i="39"/>
  <c r="E25" i="40" s="1"/>
  <c r="H98" i="39"/>
  <c r="E31" i="40" s="1"/>
  <c r="H82" i="39"/>
  <c r="H83" i="39"/>
  <c r="E16" i="40" s="1"/>
  <c r="H76" i="39"/>
  <c r="E9" i="40" s="1"/>
  <c r="H86" i="39"/>
  <c r="E19" i="40" s="1"/>
  <c r="H80" i="39"/>
  <c r="E13" i="40" s="1"/>
  <c r="H91" i="39" a="1"/>
  <c r="H91" i="39" s="1"/>
  <c r="E24" i="40" s="1"/>
  <c r="H89" i="39"/>
  <c r="E22" i="40" s="1"/>
  <c r="H77" i="39"/>
  <c r="E10" i="40" s="1"/>
  <c r="H97" i="39" a="1"/>
  <c r="H97" i="39" s="1"/>
  <c r="E30" i="40" s="1"/>
  <c r="H95" i="39"/>
  <c r="E28" i="40" s="1"/>
  <c r="I55" i="39"/>
  <c r="I65" i="39" s="1"/>
  <c r="M62" i="31" l="1"/>
  <c r="G10" i="40"/>
  <c r="G77" i="39"/>
  <c r="F17" i="40"/>
  <c r="I66" i="39"/>
  <c r="J58" i="39"/>
  <c r="K45" i="41"/>
  <c r="K47" i="41" s="1"/>
  <c r="U46" i="41"/>
  <c r="Z45" i="41"/>
  <c r="Z46" i="41"/>
  <c r="AA47" i="41"/>
  <c r="Y46" i="41"/>
  <c r="Y45" i="41"/>
  <c r="L45" i="41"/>
  <c r="L46" i="41"/>
  <c r="J46" i="41"/>
  <c r="J48" i="41" s="1"/>
  <c r="P45" i="41"/>
  <c r="P46" i="41"/>
  <c r="P48" i="41" s="1"/>
  <c r="J45" i="41"/>
  <c r="N46" i="41"/>
  <c r="N48" i="41" s="1"/>
  <c r="F47" i="41"/>
  <c r="M46" i="41"/>
  <c r="M48" i="41" s="1"/>
  <c r="I46" i="41"/>
  <c r="O45" i="41"/>
  <c r="O46" i="41"/>
  <c r="O48" i="41" s="1"/>
  <c r="N45" i="41"/>
  <c r="I45" i="41"/>
  <c r="G28" i="40"/>
  <c r="G22" i="40"/>
  <c r="H15" i="40"/>
  <c r="K85" i="39" a="1"/>
  <c r="K85" i="39" s="1"/>
  <c r="H18" i="40" s="1"/>
  <c r="H78" i="39"/>
  <c r="E11" i="40" s="1"/>
  <c r="H96" i="39"/>
  <c r="H90" i="39"/>
  <c r="H79" i="39" a="1"/>
  <c r="H79" i="39" s="1"/>
  <c r="E12" i="40" s="1"/>
  <c r="H84" i="39"/>
  <c r="J85" i="39" a="1"/>
  <c r="J85" i="39" s="1"/>
  <c r="G18" i="40" s="1"/>
  <c r="G15" i="40"/>
  <c r="M68" i="31"/>
  <c r="K77" i="39"/>
  <c r="H10" i="40" s="1"/>
  <c r="K83" i="39"/>
  <c r="K46" i="39"/>
  <c r="K92" i="39"/>
  <c r="H25" i="40" s="1"/>
  <c r="K89" i="39"/>
  <c r="H22" i="40" s="1"/>
  <c r="K95" i="39"/>
  <c r="H28" i="40" s="1"/>
  <c r="K91" i="39" a="1"/>
  <c r="K91" i="39" s="1"/>
  <c r="H24" i="40" s="1"/>
  <c r="K86" i="39"/>
  <c r="H19" i="40" s="1"/>
  <c r="K97" i="39" a="1"/>
  <c r="K97" i="39" s="1"/>
  <c r="H30" i="40" s="1"/>
  <c r="K98" i="39"/>
  <c r="H31" i="40" s="1"/>
  <c r="K80" i="39"/>
  <c r="H13" i="40" s="1"/>
  <c r="J96" i="39"/>
  <c r="J78" i="39"/>
  <c r="G78" i="39" s="1"/>
  <c r="J90" i="39"/>
  <c r="J79" i="39" a="1"/>
  <c r="J79" i="39" s="1"/>
  <c r="J84" i="39"/>
  <c r="G84" i="39" s="1"/>
  <c r="G16" i="40"/>
  <c r="H55" i="39"/>
  <c r="H65" i="39" s="1"/>
  <c r="H66" i="39"/>
  <c r="K49" i="39"/>
  <c r="E15" i="40"/>
  <c r="H85" i="39" a="1"/>
  <c r="H85" i="39" s="1"/>
  <c r="E18" i="40" s="1"/>
  <c r="P10" i="40" l="1"/>
  <c r="P9" i="40"/>
  <c r="P8" i="40"/>
  <c r="P7" i="40"/>
  <c r="Q10" i="40"/>
  <c r="Q9" i="40"/>
  <c r="Q7" i="40"/>
  <c r="Q8" i="40"/>
  <c r="G12" i="40"/>
  <c r="G96" i="39"/>
  <c r="G90" i="39"/>
  <c r="G11" i="40"/>
  <c r="J64" i="39"/>
  <c r="J62" i="39"/>
  <c r="J60" i="39"/>
  <c r="J65" i="39"/>
  <c r="J63" i="39"/>
  <c r="J61" i="39"/>
  <c r="J59" i="39"/>
  <c r="K58" i="39"/>
  <c r="U45" i="41"/>
  <c r="U47" i="41" s="1"/>
  <c r="V46" i="41"/>
  <c r="V45" i="41"/>
  <c r="T46" i="41"/>
  <c r="T45" i="41"/>
  <c r="W46" i="41"/>
  <c r="W45" i="41"/>
  <c r="X46" i="41"/>
  <c r="X45" i="41"/>
  <c r="S45" i="41"/>
  <c r="S46" i="41"/>
  <c r="Y48" i="41"/>
  <c r="Y47" i="41"/>
  <c r="Z48" i="41"/>
  <c r="Z47" i="41"/>
  <c r="J47" i="41"/>
  <c r="L48" i="41"/>
  <c r="L47" i="41"/>
  <c r="N47" i="41"/>
  <c r="P47" i="41"/>
  <c r="M45" i="41"/>
  <c r="M47" i="41" s="1"/>
  <c r="O47" i="41"/>
  <c r="I47" i="41"/>
  <c r="R45" i="41"/>
  <c r="R46" i="41"/>
  <c r="R48" i="41" s="1"/>
  <c r="Q45" i="41"/>
  <c r="Q46" i="41"/>
  <c r="E17" i="40"/>
  <c r="G29" i="40"/>
  <c r="X7" i="40" s="1"/>
  <c r="K79" i="39" a="1"/>
  <c r="K79" i="39" s="1"/>
  <c r="H12" i="40" s="1"/>
  <c r="K90" i="39"/>
  <c r="K96" i="39"/>
  <c r="K78" i="39"/>
  <c r="K84" i="39"/>
  <c r="E23" i="40"/>
  <c r="G17" i="40"/>
  <c r="X4" i="40" s="1"/>
  <c r="K55" i="39"/>
  <c r="G23" i="40"/>
  <c r="H16" i="40"/>
  <c r="E29" i="40"/>
  <c r="X8" i="40" l="1"/>
  <c r="X5" i="40"/>
  <c r="X6" i="40" s="1"/>
  <c r="O10" i="40"/>
  <c r="O7" i="40"/>
  <c r="O9" i="40"/>
  <c r="O8" i="40"/>
  <c r="H29" i="40"/>
  <c r="J66" i="39"/>
  <c r="K59" i="39"/>
  <c r="K64" i="39"/>
  <c r="K63" i="39"/>
  <c r="K61" i="39"/>
  <c r="K60" i="39"/>
  <c r="K62" i="39"/>
  <c r="Q48" i="41"/>
  <c r="AA48" i="41"/>
  <c r="U48" i="41"/>
  <c r="X47" i="41"/>
  <c r="X48" i="41"/>
  <c r="T47" i="41"/>
  <c r="T48" i="41"/>
  <c r="S48" i="41"/>
  <c r="S47" i="41"/>
  <c r="W48" i="41"/>
  <c r="W47" i="41"/>
  <c r="V48" i="41"/>
  <c r="V47" i="41"/>
  <c r="R47" i="41"/>
  <c r="Q47" i="41"/>
  <c r="H17" i="40"/>
  <c r="K65" i="39"/>
  <c r="H11" i="40"/>
  <c r="H23" i="40"/>
  <c r="K66" i="39" l="1"/>
</calcChain>
</file>

<file path=xl/sharedStrings.xml><?xml version="1.0" encoding="utf-8"?>
<sst xmlns="http://schemas.openxmlformats.org/spreadsheetml/2006/main" count="469" uniqueCount="110">
  <si>
    <t>Start Date</t>
  </si>
  <si>
    <t>End Date</t>
  </si>
  <si>
    <t>Avg Delta</t>
  </si>
  <si>
    <t>Annual</t>
  </si>
  <si>
    <t>Actual Study Period</t>
  </si>
  <si>
    <t>EI Effective Date</t>
  </si>
  <si>
    <t>Months</t>
  </si>
  <si>
    <t>Total All kWh</t>
  </si>
  <si>
    <t>Total kWh</t>
  </si>
  <si>
    <t>Row Number of Actuals</t>
  </si>
  <si>
    <t>First Period</t>
  </si>
  <si>
    <t>Last Period</t>
  </si>
  <si>
    <t>Premise</t>
  </si>
  <si>
    <t>Original RS</t>
  </si>
  <si>
    <t xml:space="preserve"> </t>
  </si>
  <si>
    <t xml:space="preserve">RATE1   </t>
  </si>
  <si>
    <t xml:space="preserve">RATE2   </t>
  </si>
  <si>
    <t xml:space="preserve">RATE7   </t>
  </si>
  <si>
    <t>RATE 17ar</t>
  </si>
  <si>
    <t>RATE 17ac</t>
  </si>
  <si>
    <t>RATE 17b</t>
  </si>
  <si>
    <t>Total</t>
  </si>
  <si>
    <t>Hours in Period =&gt;</t>
  </si>
  <si>
    <t>RATE 1 aMW</t>
  </si>
  <si>
    <t>RATE 2 aMW</t>
  </si>
  <si>
    <t>RATE 7 aMW</t>
  </si>
  <si>
    <t>RATE 17ar aMW</t>
  </si>
  <si>
    <t>RATE 17ac aMW</t>
  </si>
  <si>
    <t>RATE 17b aMW</t>
  </si>
  <si>
    <t>aMW</t>
  </si>
  <si>
    <t>Check aMW</t>
  </si>
  <si>
    <t xml:space="preserve">     Customer Statistics     </t>
  </si>
  <si>
    <t>Number of Days in Study</t>
  </si>
  <si>
    <t>Ave</t>
  </si>
  <si>
    <t>All Customers</t>
  </si>
  <si>
    <t>Number of Accounts</t>
  </si>
  <si>
    <t>Largest</t>
  </si>
  <si>
    <t>Average</t>
  </si>
  <si>
    <t>Median</t>
  </si>
  <si>
    <t>Minimum</t>
  </si>
  <si>
    <t>akW</t>
  </si>
  <si>
    <t>kWh</t>
  </si>
  <si>
    <t>Customer's &gt; 1 aMW (8,760,000 kWh/yr)</t>
  </si>
  <si>
    <t>Original</t>
  </si>
  <si>
    <t>Rate</t>
  </si>
  <si>
    <t>Number of Customers</t>
  </si>
  <si>
    <t>All</t>
  </si>
  <si>
    <t>Average MW</t>
  </si>
  <si>
    <t>Study Period</t>
  </si>
  <si>
    <t/>
  </si>
  <si>
    <t>Max</t>
  </si>
  <si>
    <t>Load</t>
  </si>
  <si>
    <t>Loads &gt;</t>
  </si>
  <si>
    <t>MW</t>
  </si>
  <si>
    <t>Per Customer Average MW</t>
  </si>
  <si>
    <t>Breakdown of Customers by Size</t>
  </si>
  <si>
    <t>aMW as a Percent of Annual aMW</t>
  </si>
  <si>
    <t>Ratchet</t>
  </si>
  <si>
    <t>Peak (kW)</t>
  </si>
  <si>
    <t>Dec</t>
  </si>
  <si>
    <t>Jan</t>
  </si>
  <si>
    <t>Nov</t>
  </si>
  <si>
    <t>Oct</t>
  </si>
  <si>
    <t>Sep</t>
  </si>
  <si>
    <t>Aug</t>
  </si>
  <si>
    <t>Jul</t>
  </si>
  <si>
    <t>Jun</t>
  </si>
  <si>
    <t>May</t>
  </si>
  <si>
    <t>Apr</t>
  </si>
  <si>
    <t>Mar</t>
  </si>
  <si>
    <t>Feb</t>
  </si>
  <si>
    <t>12 month Average LF</t>
  </si>
  <si>
    <t xml:space="preserve">  Summary of all RS17 Customers 2013-2019 Actual Monthly Usage Within Each Calendar Month (billing reads adjusted monthly)                                                </t>
  </si>
  <si>
    <t xml:space="preserve">  Summary of all RS17 Customers 2013-2019 Actual Monthly Usage Within Each Calendar Month By Rate                                  </t>
  </si>
  <si>
    <t xml:space="preserve">     kWh                    </t>
  </si>
  <si>
    <t>Hours =&gt;</t>
  </si>
  <si>
    <t xml:space="preserve">    Average kW                    </t>
  </si>
  <si>
    <t>RATE 1 akW</t>
  </si>
  <si>
    <t>RATE 2 akW</t>
  </si>
  <si>
    <t>RATE 7 akW</t>
  </si>
  <si>
    <t>RATE 17ar akW</t>
  </si>
  <si>
    <t>RATE 17ac akW</t>
  </si>
  <si>
    <t>RATE 17b akW</t>
  </si>
  <si>
    <t>Rate 17ar</t>
  </si>
  <si>
    <t>Rate 17ac</t>
  </si>
  <si>
    <t>Rate 17b</t>
  </si>
  <si>
    <t>Annual Total $</t>
  </si>
  <si>
    <t>Stats for 1/1/2019-1/1/2020</t>
  </si>
  <si>
    <t>Study Results</t>
  </si>
  <si>
    <t>Change $/kWh</t>
  </si>
  <si>
    <t>Stats for 1/1/2017 to 1/1/2020</t>
  </si>
  <si>
    <t xml:space="preserve">                     Monthly kWh     </t>
  </si>
  <si>
    <t>Annual Loads</t>
  </si>
  <si>
    <t>Monthly Peak Load (kW)</t>
  </si>
  <si>
    <t>Premise ID</t>
  </si>
  <si>
    <t>Rate Schedule</t>
  </si>
  <si>
    <t>Billing Period</t>
  </si>
  <si>
    <t>First</t>
  </si>
  <si>
    <t>Last</t>
  </si>
  <si>
    <t>Total All kWh =&gt;</t>
  </si>
  <si>
    <t>2019 Actual Monthly Load Factor by RS17b Customer</t>
  </si>
  <si>
    <t>Customers with Regular Operations Monthly Load Factor Based on Billing Data</t>
  </si>
  <si>
    <t>Non-regular Operating Customer's Load Factor Data</t>
  </si>
  <si>
    <t>17a kWh</t>
  </si>
  <si>
    <t>17a akW</t>
  </si>
  <si>
    <t>17b kWh</t>
  </si>
  <si>
    <t>17b akW</t>
  </si>
  <si>
    <t>2020 Expected Loads</t>
  </si>
  <si>
    <t>17a LF</t>
  </si>
  <si>
    <t>17b 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</si>
</sst>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_(* #,##0_);_(* \(#,##0\);_(* &quot;-&quot;??_);_(@_)"/>
    <numFmt numFmtId="166" formatCode="_(* #,##0.000_);_(* \(#,##0.000\);_(* &quot;-&quot;??_);_(@_)"/>
    <numFmt numFmtId="167" formatCode="#,##0;\(#,##0.00\)"/>
    <numFmt numFmtId="168" formatCode="#,##0.000;\(#,##0.000\);_(* &quot;-&quot;??_);_(@_)"/>
    <numFmt numFmtId="169" formatCode="#,##0.000;\(#,##0.000\)\:\-"/>
    <numFmt numFmtId="170" formatCode="#,##0;\(#,##0\);_(* &quot;-&quot;??_);_(@_)"/>
    <numFmt numFmtId="171" formatCode="0;;&quot;&quot;"/>
    <numFmt numFmtId="172" formatCode="mmm;;&quot;&quot;"/>
    <numFmt numFmtId="173" formatCode="#,##0;[Red]#,##0"/>
    <numFmt numFmtId="174" formatCode="#,##0.0000000000000000_);\(#,##0.0000000000000000\)"/>
    <numFmt numFmtId="175" formatCode="0.0%"/>
    <numFmt numFmtId="176" formatCode="_(&quot;$&quot;* #,##0.0000_);_(&quot;$&quot;* \(#,##0.0000\);_(&quot;$&quot;* &quot;-&quot;??_);_(@_)"/>
    <numFmt numFmtId="177" formatCode="_(&quot;$&quot;* #,##0.00000_);_(&quot;$&quot;* \(#,##0.00000\);_(&quot;$&quot;* &quot;-&quot;??_);_(@_)"/>
    <numFmt numFmtId="178" formatCode="_(&quot;$&quot;* #,##0_);_(&quot;$&quot;* \(#,##0\);_(&quot;$&quot;* &quot;-&quot;??_);_(@_)"/>
    <numFmt numFmtId="179" formatCode="#,##0;\(#,##0\)"/>
    <numFmt numFmtId="180" formatCode="0000000000"/>
  </numFmts>
  <fonts count="16" x14ac:knownFonts="1">
    <font>
      <sz val="11"/>
      <color theme="1"/>
      <name val="Calibri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4" tint="-0.249977111117893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theme="0" tint="-0.1499984740745262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002D7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8"/>
        <bgColor indexed="64"/>
      </patternFill>
    </fill>
    <fill>
      <patternFill patternType="solid">
        <fgColor rgb="FF958B54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95B3D7"/>
        <bgColor indexed="64"/>
      </patternFill>
    </fill>
  </fills>
  <borders count="8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indexed="64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506">
    <xf numFmtId="0" fontId="0" fillId="0" borderId="0" xfId="0"/>
    <xf numFmtId="0" fontId="0" fillId="0" borderId="4" xfId="0" applyBorder="1" applyAlignment="1">
      <alignment horizontal="centerContinuous"/>
    </xf>
    <xf numFmtId="0" fontId="1" fillId="0" borderId="0" xfId="0" applyFont="1"/>
    <xf numFmtId="0" fontId="1" fillId="0" borderId="1" xfId="0" applyFont="1" applyBorder="1" applyAlignment="1">
      <alignment horizontal="center"/>
    </xf>
    <xf numFmtId="165" fontId="1" fillId="0" borderId="14" xfId="2" applyNumberFormat="1" applyFont="1" applyBorder="1"/>
    <xf numFmtId="165" fontId="1" fillId="0" borderId="0" xfId="2" applyNumberFormat="1" applyFont="1" applyBorder="1"/>
    <xf numFmtId="165" fontId="1" fillId="0" borderId="15" xfId="2" applyNumberFormat="1" applyFont="1" applyBorder="1"/>
    <xf numFmtId="165" fontId="1" fillId="0" borderId="0" xfId="2" applyNumberFormat="1" applyFont="1" applyFill="1" applyBorder="1"/>
    <xf numFmtId="165" fontId="1" fillId="0" borderId="16" xfId="2" applyNumberFormat="1" applyFont="1" applyBorder="1"/>
    <xf numFmtId="165" fontId="1" fillId="0" borderId="17" xfId="2" applyNumberFormat="1" applyFont="1" applyBorder="1"/>
    <xf numFmtId="165" fontId="1" fillId="0" borderId="18" xfId="2" applyNumberFormat="1" applyFont="1" applyBorder="1"/>
    <xf numFmtId="0" fontId="1" fillId="0" borderId="0" xfId="0" applyFont="1" applyAlignment="1">
      <alignment horizontal="right"/>
    </xf>
    <xf numFmtId="0" fontId="1" fillId="0" borderId="0" xfId="0" applyFont="1" applyBorder="1"/>
    <xf numFmtId="0" fontId="1" fillId="0" borderId="0" xfId="0" applyFont="1" applyBorder="1" applyAlignment="1">
      <alignment horizontal="right"/>
    </xf>
    <xf numFmtId="165" fontId="1" fillId="0" borderId="23" xfId="2" applyNumberFormat="1" applyFont="1" applyBorder="1"/>
    <xf numFmtId="0" fontId="1" fillId="0" borderId="2" xfId="0" applyFont="1" applyBorder="1" applyAlignment="1">
      <alignment horizontal="centerContinuous"/>
    </xf>
    <xf numFmtId="0" fontId="1" fillId="0" borderId="3" xfId="0" applyFont="1" applyBorder="1" applyAlignment="1">
      <alignment horizontal="centerContinuous"/>
    </xf>
    <xf numFmtId="14" fontId="1" fillId="0" borderId="0" xfId="0" applyNumberFormat="1" applyFont="1"/>
    <xf numFmtId="165" fontId="1" fillId="0" borderId="8" xfId="2" applyNumberFormat="1" applyFont="1" applyBorder="1"/>
    <xf numFmtId="165" fontId="1" fillId="0" borderId="6" xfId="2" applyNumberFormat="1" applyFont="1" applyBorder="1"/>
    <xf numFmtId="165" fontId="1" fillId="0" borderId="31" xfId="2" applyNumberFormat="1" applyFont="1" applyBorder="1"/>
    <xf numFmtId="165" fontId="1" fillId="0" borderId="15" xfId="2" applyNumberFormat="1" applyFont="1" applyFill="1" applyBorder="1"/>
    <xf numFmtId="0" fontId="0" fillId="0" borderId="8" xfId="0" applyBorder="1" applyAlignment="1">
      <alignment horizontal="center"/>
    </xf>
    <xf numFmtId="165" fontId="1" fillId="0" borderId="7" xfId="2" applyNumberFormat="1" applyFont="1" applyBorder="1"/>
    <xf numFmtId="165" fontId="1" fillId="0" borderId="14" xfId="2" applyNumberFormat="1" applyFont="1" applyFill="1" applyBorder="1"/>
    <xf numFmtId="170" fontId="1" fillId="0" borderId="0" xfId="0" applyNumberFormat="1" applyFont="1" applyBorder="1" applyAlignment="1">
      <alignment horizontal="right"/>
    </xf>
    <xf numFmtId="0" fontId="1" fillId="0" borderId="7" xfId="0" applyFont="1" applyBorder="1" applyAlignment="1">
      <alignment horizontal="center"/>
    </xf>
    <xf numFmtId="164" fontId="5" fillId="0" borderId="0" xfId="0" applyNumberFormat="1" applyFont="1" applyBorder="1"/>
    <xf numFmtId="0" fontId="5" fillId="0" borderId="0" xfId="0" applyFont="1" applyAlignment="1">
      <alignment horizontal="right"/>
    </xf>
    <xf numFmtId="0" fontId="5" fillId="0" borderId="0" xfId="0" applyFont="1"/>
    <xf numFmtId="0" fontId="5" fillId="0" borderId="27" xfId="0" applyFont="1" applyBorder="1" applyAlignment="1">
      <alignment horizontal="center"/>
    </xf>
    <xf numFmtId="0" fontId="5" fillId="0" borderId="40" xfId="0" applyNumberFormat="1" applyFont="1" applyBorder="1" applyAlignment="1">
      <alignment horizontal="center"/>
    </xf>
    <xf numFmtId="17" fontId="5" fillId="0" borderId="34" xfId="0" applyNumberFormat="1" applyFont="1" applyBorder="1" applyAlignment="1">
      <alignment horizontal="center"/>
    </xf>
    <xf numFmtId="17" fontId="5" fillId="0" borderId="35" xfId="0" applyNumberFormat="1" applyFont="1" applyBorder="1" applyAlignment="1">
      <alignment horizontal="center"/>
    </xf>
    <xf numFmtId="0" fontId="5" fillId="0" borderId="40" xfId="0" applyFont="1" applyBorder="1"/>
    <xf numFmtId="165" fontId="5" fillId="0" borderId="40" xfId="4" applyNumberFormat="1" applyFont="1" applyBorder="1"/>
    <xf numFmtId="165" fontId="5" fillId="0" borderId="0" xfId="2" applyNumberFormat="1" applyFont="1" applyBorder="1"/>
    <xf numFmtId="0" fontId="5" fillId="0" borderId="42" xfId="0" applyFont="1" applyBorder="1"/>
    <xf numFmtId="165" fontId="5" fillId="0" borderId="42" xfId="4" applyNumberFormat="1" applyFont="1" applyBorder="1"/>
    <xf numFmtId="0" fontId="5" fillId="0" borderId="43" xfId="0" applyFont="1" applyBorder="1"/>
    <xf numFmtId="165" fontId="5" fillId="0" borderId="43" xfId="4" applyNumberFormat="1" applyFont="1" applyBorder="1"/>
    <xf numFmtId="165" fontId="5" fillId="0" borderId="0" xfId="0" applyNumberFormat="1" applyFont="1"/>
    <xf numFmtId="0" fontId="5" fillId="0" borderId="43" xfId="0" applyFont="1" applyBorder="1" applyAlignment="1">
      <alignment horizontal="center"/>
    </xf>
    <xf numFmtId="167" fontId="5" fillId="0" borderId="45" xfId="0" applyNumberFormat="1" applyFont="1" applyBorder="1" applyAlignment="1">
      <alignment horizontal="center"/>
    </xf>
    <xf numFmtId="167" fontId="5" fillId="0" borderId="46" xfId="0" applyNumberFormat="1" applyFont="1" applyBorder="1" applyAlignment="1">
      <alignment horizontal="center"/>
    </xf>
    <xf numFmtId="168" fontId="5" fillId="0" borderId="47" xfId="4" applyNumberFormat="1" applyFont="1" applyBorder="1"/>
    <xf numFmtId="168" fontId="5" fillId="0" borderId="40" xfId="4" applyNumberFormat="1" applyFont="1" applyBorder="1"/>
    <xf numFmtId="168" fontId="5" fillId="0" borderId="14" xfId="4" applyNumberFormat="1" applyFont="1" applyBorder="1"/>
    <xf numFmtId="168" fontId="5" fillId="0" borderId="42" xfId="4" applyNumberFormat="1" applyFont="1" applyBorder="1"/>
    <xf numFmtId="168" fontId="5" fillId="0" borderId="16" xfId="4" applyNumberFormat="1" applyFont="1" applyBorder="1"/>
    <xf numFmtId="168" fontId="5" fillId="0" borderId="43" xfId="4" applyNumberFormat="1" applyFont="1" applyBorder="1"/>
    <xf numFmtId="169" fontId="5" fillId="0" borderId="0" xfId="4" applyNumberFormat="1" applyFont="1"/>
    <xf numFmtId="169" fontId="5" fillId="0" borderId="0" xfId="4" applyNumberFormat="1" applyFont="1" applyAlignment="1">
      <alignment horizontal="center"/>
    </xf>
    <xf numFmtId="165" fontId="1" fillId="0" borderId="0" xfId="0" applyNumberFormat="1" applyFont="1"/>
    <xf numFmtId="0" fontId="1" fillId="0" borderId="8" xfId="0" applyFont="1" applyBorder="1" applyAlignment="1">
      <alignment horizontal="center"/>
    </xf>
    <xf numFmtId="0" fontId="1" fillId="0" borderId="9" xfId="0" applyNumberFormat="1" applyFont="1" applyBorder="1" applyAlignment="1">
      <alignment horizontal="centerContinuous"/>
    </xf>
    <xf numFmtId="0" fontId="1" fillId="0" borderId="10" xfId="0" applyNumberFormat="1" applyFont="1" applyBorder="1" applyAlignment="1">
      <alignment horizontal="centerContinuous"/>
    </xf>
    <xf numFmtId="0" fontId="1" fillId="0" borderId="11" xfId="0" applyNumberFormat="1" applyFont="1" applyBorder="1" applyAlignment="1">
      <alignment horizontal="centerContinuous"/>
    </xf>
    <xf numFmtId="0" fontId="1" fillId="0" borderId="19" xfId="0" applyNumberFormat="1" applyFont="1" applyBorder="1" applyAlignment="1">
      <alignment horizontal="centerContinuous"/>
    </xf>
    <xf numFmtId="0" fontId="1" fillId="0" borderId="33" xfId="0" applyNumberFormat="1" applyFont="1" applyBorder="1" applyAlignment="1">
      <alignment horizontal="centerContinuous"/>
    </xf>
    <xf numFmtId="17" fontId="1" fillId="0" borderId="4" xfId="0" applyNumberFormat="1" applyFont="1" applyBorder="1" applyAlignment="1">
      <alignment horizontal="center"/>
    </xf>
    <xf numFmtId="17" fontId="1" fillId="0" borderId="1" xfId="0" applyNumberFormat="1" applyFont="1" applyBorder="1" applyAlignment="1">
      <alignment horizontal="center"/>
    </xf>
    <xf numFmtId="17" fontId="1" fillId="0" borderId="12" xfId="0" applyNumberFormat="1" applyFont="1" applyBorder="1" applyAlignment="1">
      <alignment horizontal="center"/>
    </xf>
    <xf numFmtId="17" fontId="1" fillId="0" borderId="2" xfId="0" applyNumberFormat="1" applyFont="1" applyBorder="1" applyAlignment="1">
      <alignment horizontal="center"/>
    </xf>
    <xf numFmtId="17" fontId="1" fillId="0" borderId="32" xfId="0" applyNumberFormat="1" applyFont="1" applyBorder="1" applyAlignment="1">
      <alignment horizontal="center"/>
    </xf>
    <xf numFmtId="17" fontId="1" fillId="0" borderId="13" xfId="0" applyNumberFormat="1" applyFont="1" applyBorder="1" applyAlignment="1">
      <alignment horizontal="center"/>
    </xf>
    <xf numFmtId="164" fontId="1" fillId="0" borderId="0" xfId="0" applyNumberFormat="1" applyFont="1" applyBorder="1"/>
    <xf numFmtId="0" fontId="1" fillId="0" borderId="20" xfId="0" applyFont="1" applyBorder="1" applyAlignment="1">
      <alignment horizontal="center"/>
    </xf>
    <xf numFmtId="164" fontId="1" fillId="0" borderId="5" xfId="0" applyNumberFormat="1" applyFont="1" applyBorder="1"/>
    <xf numFmtId="0" fontId="1" fillId="0" borderId="21" xfId="0" applyFont="1" applyBorder="1" applyAlignment="1">
      <alignment horizontal="center"/>
    </xf>
    <xf numFmtId="174" fontId="5" fillId="0" borderId="0" xfId="0" applyNumberFormat="1" applyFont="1"/>
    <xf numFmtId="43" fontId="5" fillId="0" borderId="0" xfId="2" applyFont="1"/>
    <xf numFmtId="43" fontId="5" fillId="0" borderId="0" xfId="0" applyNumberFormat="1" applyFont="1"/>
    <xf numFmtId="0" fontId="1" fillId="0" borderId="0" xfId="0" applyFont="1" applyFill="1" applyBorder="1"/>
    <xf numFmtId="43" fontId="1" fillId="0" borderId="0" xfId="0" applyNumberFormat="1" applyFont="1"/>
    <xf numFmtId="0" fontId="0" fillId="0" borderId="7" xfId="0" applyBorder="1" applyAlignment="1">
      <alignment horizontal="center"/>
    </xf>
    <xf numFmtId="165" fontId="1" fillId="0" borderId="8" xfId="2" applyNumberFormat="1" applyFont="1" applyBorder="1" applyAlignment="1">
      <alignment horizontal="center"/>
    </xf>
    <xf numFmtId="0" fontId="0" fillId="0" borderId="7" xfId="0" applyBorder="1"/>
    <xf numFmtId="0" fontId="1" fillId="0" borderId="8" xfId="0" applyFont="1" applyBorder="1"/>
    <xf numFmtId="43" fontId="1" fillId="0" borderId="8" xfId="2" applyNumberFormat="1" applyFont="1" applyBorder="1"/>
    <xf numFmtId="0" fontId="1" fillId="0" borderId="6" xfId="0" applyFont="1" applyBorder="1"/>
    <xf numFmtId="43" fontId="1" fillId="0" borderId="6" xfId="2" applyNumberFormat="1" applyFont="1" applyBorder="1"/>
    <xf numFmtId="0" fontId="1" fillId="0" borderId="6" xfId="1" applyFont="1" applyBorder="1" applyAlignment="1"/>
    <xf numFmtId="43" fontId="1" fillId="0" borderId="6" xfId="2" applyNumberFormat="1" applyFont="1" applyBorder="1" applyAlignment="1"/>
    <xf numFmtId="0" fontId="1" fillId="0" borderId="7" xfId="0" applyFont="1" applyBorder="1"/>
    <xf numFmtId="43" fontId="1" fillId="0" borderId="7" xfId="2" applyNumberFormat="1" applyFont="1" applyBorder="1"/>
    <xf numFmtId="165" fontId="5" fillId="0" borderId="51" xfId="4" applyNumberFormat="1" applyFont="1" applyBorder="1"/>
    <xf numFmtId="165" fontId="5" fillId="0" borderId="6" xfId="4" applyNumberFormat="1" applyFont="1" applyBorder="1"/>
    <xf numFmtId="165" fontId="5" fillId="0" borderId="44" xfId="4" applyNumberFormat="1" applyFont="1" applyBorder="1"/>
    <xf numFmtId="165" fontId="5" fillId="0" borderId="45" xfId="4" applyNumberFormat="1" applyFont="1" applyBorder="1"/>
    <xf numFmtId="165" fontId="5" fillId="0" borderId="37" xfId="4" applyNumberFormat="1" applyFont="1" applyBorder="1"/>
    <xf numFmtId="167" fontId="5" fillId="0" borderId="16" xfId="4" applyNumberFormat="1" applyFont="1" applyBorder="1" applyAlignment="1">
      <alignment horizontal="center"/>
    </xf>
    <xf numFmtId="168" fontId="5" fillId="0" borderId="37" xfId="4" applyNumberFormat="1" applyFont="1" applyBorder="1"/>
    <xf numFmtId="168" fontId="5" fillId="0" borderId="37" xfId="0" applyNumberFormat="1" applyFont="1" applyBorder="1"/>
    <xf numFmtId="168" fontId="5" fillId="0" borderId="38" xfId="0" applyNumberFormat="1" applyFont="1" applyBorder="1"/>
    <xf numFmtId="168" fontId="5" fillId="0" borderId="6" xfId="4" applyNumberFormat="1" applyFont="1" applyBorder="1"/>
    <xf numFmtId="168" fontId="5" fillId="0" borderId="6" xfId="0" applyNumberFormat="1" applyFont="1" applyBorder="1"/>
    <xf numFmtId="168" fontId="5" fillId="0" borderId="50" xfId="0" applyNumberFormat="1" applyFont="1" applyBorder="1"/>
    <xf numFmtId="168" fontId="5" fillId="0" borderId="45" xfId="4" applyNumberFormat="1" applyFont="1" applyBorder="1"/>
    <xf numFmtId="168" fontId="5" fillId="0" borderId="45" xfId="0" applyNumberFormat="1" applyFont="1" applyBorder="1"/>
    <xf numFmtId="168" fontId="5" fillId="0" borderId="46" xfId="0" applyNumberFormat="1" applyFont="1" applyBorder="1"/>
    <xf numFmtId="168" fontId="5" fillId="0" borderId="38" xfId="4" applyNumberFormat="1" applyFont="1" applyBorder="1"/>
    <xf numFmtId="168" fontId="5" fillId="0" borderId="50" xfId="4" applyNumberFormat="1" applyFont="1" applyBorder="1"/>
    <xf numFmtId="168" fontId="5" fillId="0" borderId="46" xfId="4" applyNumberFormat="1" applyFont="1" applyBorder="1"/>
    <xf numFmtId="0" fontId="5" fillId="0" borderId="18" xfId="0" applyFont="1" applyFill="1" applyBorder="1" applyAlignment="1">
      <alignment horizontal="center"/>
    </xf>
    <xf numFmtId="17" fontId="5" fillId="0" borderId="53" xfId="0" applyNumberFormat="1" applyFont="1" applyBorder="1" applyAlignment="1">
      <alignment horizontal="center"/>
    </xf>
    <xf numFmtId="0" fontId="5" fillId="0" borderId="27" xfId="0" applyNumberFormat="1" applyFont="1" applyBorder="1" applyAlignment="1">
      <alignment horizontal="center"/>
    </xf>
    <xf numFmtId="0" fontId="5" fillId="0" borderId="0" xfId="5" applyFont="1" applyAlignment="1">
      <alignment horizontal="right"/>
    </xf>
    <xf numFmtId="0" fontId="5" fillId="0" borderId="0" xfId="5" applyFont="1"/>
    <xf numFmtId="14" fontId="7" fillId="0" borderId="0" xfId="5" applyNumberFormat="1" applyFont="1"/>
    <xf numFmtId="0" fontId="5" fillId="0" borderId="2" xfId="5" applyFont="1" applyBorder="1" applyAlignment="1">
      <alignment horizontal="centerContinuous"/>
    </xf>
    <xf numFmtId="0" fontId="5" fillId="0" borderId="4" xfId="5" applyFont="1" applyBorder="1" applyAlignment="1">
      <alignment horizontal="centerContinuous"/>
    </xf>
    <xf numFmtId="14" fontId="5" fillId="0" borderId="0" xfId="5" applyNumberFormat="1" applyFont="1"/>
    <xf numFmtId="14" fontId="5" fillId="0" borderId="22" xfId="5" applyNumberFormat="1" applyFont="1" applyBorder="1"/>
    <xf numFmtId="14" fontId="8" fillId="0" borderId="24" xfId="5" applyNumberFormat="1" applyFont="1" applyBorder="1" applyAlignment="1">
      <alignment horizontal="center"/>
    </xf>
    <xf numFmtId="14" fontId="5" fillId="0" borderId="0" xfId="5" applyNumberFormat="1" applyFont="1" applyAlignment="1">
      <alignment horizontal="left"/>
    </xf>
    <xf numFmtId="14" fontId="5" fillId="0" borderId="20" xfId="5" applyNumberFormat="1" applyFont="1" applyBorder="1"/>
    <xf numFmtId="14" fontId="8" fillId="0" borderId="25" xfId="5" applyNumberFormat="1" applyFont="1" applyBorder="1" applyAlignment="1">
      <alignment horizontal="center"/>
    </xf>
    <xf numFmtId="0" fontId="5" fillId="0" borderId="0" xfId="5" applyNumberFormat="1" applyFont="1"/>
    <xf numFmtId="2" fontId="5" fillId="0" borderId="0" xfId="5" applyNumberFormat="1" applyFont="1" applyAlignment="1">
      <alignment horizontal="center"/>
    </xf>
    <xf numFmtId="14" fontId="5" fillId="0" borderId="21" xfId="5" applyNumberFormat="1" applyFont="1" applyBorder="1"/>
    <xf numFmtId="0" fontId="9" fillId="0" borderId="26" xfId="5" applyNumberFormat="1" applyFont="1" applyBorder="1" applyAlignment="1">
      <alignment horizontal="center"/>
    </xf>
    <xf numFmtId="0" fontId="10" fillId="2" borderId="48" xfId="5" applyFont="1" applyFill="1" applyBorder="1" applyAlignment="1">
      <alignment horizontal="fill"/>
    </xf>
    <xf numFmtId="0" fontId="11" fillId="0" borderId="28" xfId="5" applyFont="1" applyBorder="1" applyAlignment="1">
      <alignment horizontal="centerContinuous"/>
    </xf>
    <xf numFmtId="0" fontId="11" fillId="0" borderId="29" xfId="5" applyFont="1" applyBorder="1" applyAlignment="1">
      <alignment horizontal="centerContinuous"/>
    </xf>
    <xf numFmtId="0" fontId="9" fillId="0" borderId="29" xfId="5" applyFont="1" applyBorder="1" applyAlignment="1">
      <alignment horizontal="centerContinuous"/>
    </xf>
    <xf numFmtId="0" fontId="9" fillId="0" borderId="30" xfId="5" applyFont="1" applyBorder="1" applyAlignment="1">
      <alignment horizontal="centerContinuous"/>
    </xf>
    <xf numFmtId="0" fontId="7" fillId="0" borderId="28" xfId="5" applyFont="1" applyBorder="1" applyAlignment="1">
      <alignment horizontal="fill"/>
    </xf>
    <xf numFmtId="0" fontId="7" fillId="0" borderId="29" xfId="5" applyFont="1" applyBorder="1" applyAlignment="1">
      <alignment horizontal="fill"/>
    </xf>
    <xf numFmtId="0" fontId="7" fillId="0" borderId="30" xfId="5" applyFont="1" applyBorder="1" applyAlignment="1">
      <alignment horizontal="fill"/>
    </xf>
    <xf numFmtId="0" fontId="5" fillId="0" borderId="0" xfId="5" applyFont="1" applyAlignment="1"/>
    <xf numFmtId="0" fontId="11" fillId="0" borderId="40" xfId="5" applyNumberFormat="1" applyFont="1" applyFill="1" applyBorder="1" applyAlignment="1">
      <alignment horizontal="center"/>
    </xf>
    <xf numFmtId="0" fontId="11" fillId="0" borderId="40" xfId="5" applyFont="1" applyFill="1" applyBorder="1" applyAlignment="1">
      <alignment horizontal="center"/>
    </xf>
    <xf numFmtId="171" fontId="7" fillId="0" borderId="36" xfId="5" applyNumberFormat="1" applyFont="1" applyBorder="1" applyAlignment="1">
      <alignment horizontal="center"/>
    </xf>
    <xf numFmtId="171" fontId="7" fillId="0" borderId="37" xfId="5" applyNumberFormat="1" applyFont="1" applyBorder="1" applyAlignment="1">
      <alignment horizontal="center"/>
    </xf>
    <xf numFmtId="171" fontId="7" fillId="0" borderId="38" xfId="5" applyNumberFormat="1" applyFont="1" applyBorder="1" applyAlignment="1">
      <alignment horizontal="center"/>
    </xf>
    <xf numFmtId="171" fontId="7" fillId="0" borderId="0" xfId="5" applyNumberFormat="1" applyFont="1" applyAlignment="1">
      <alignment horizontal="center"/>
    </xf>
    <xf numFmtId="0" fontId="5" fillId="0" borderId="0" xfId="5" applyFont="1" applyFill="1" applyAlignment="1"/>
    <xf numFmtId="0" fontId="7" fillId="0" borderId="8" xfId="5" applyFont="1" applyFill="1" applyBorder="1" applyAlignment="1">
      <alignment horizontal="center"/>
    </xf>
    <xf numFmtId="0" fontId="7" fillId="0" borderId="22" xfId="5" applyFont="1" applyFill="1" applyBorder="1" applyAlignment="1">
      <alignment horizontal="center"/>
    </xf>
    <xf numFmtId="0" fontId="11" fillId="0" borderId="43" xfId="5" applyNumberFormat="1" applyFont="1" applyFill="1" applyBorder="1" applyAlignment="1">
      <alignment horizontal="center"/>
    </xf>
    <xf numFmtId="0" fontId="11" fillId="0" borderId="43" xfId="5" applyFont="1" applyFill="1" applyBorder="1" applyAlignment="1">
      <alignment horizontal="center"/>
    </xf>
    <xf numFmtId="172" fontId="11" fillId="0" borderId="52" xfId="5" applyNumberFormat="1" applyFont="1" applyFill="1" applyBorder="1" applyAlignment="1">
      <alignment horizontal="center"/>
    </xf>
    <xf numFmtId="172" fontId="11" fillId="0" borderId="7" xfId="5" applyNumberFormat="1" applyFont="1" applyFill="1" applyBorder="1" applyAlignment="1">
      <alignment horizontal="center"/>
    </xf>
    <xf numFmtId="172" fontId="11" fillId="0" borderId="39" xfId="5" applyNumberFormat="1" applyFont="1" applyFill="1" applyBorder="1" applyAlignment="1">
      <alignment horizontal="center"/>
    </xf>
    <xf numFmtId="14" fontId="5" fillId="0" borderId="36" xfId="5" applyNumberFormat="1" applyFont="1" applyFill="1" applyBorder="1"/>
    <xf numFmtId="14" fontId="5" fillId="0" borderId="37" xfId="5" applyNumberFormat="1" applyFont="1" applyFill="1" applyBorder="1"/>
    <xf numFmtId="0" fontId="5" fillId="0" borderId="37" xfId="5" applyFont="1" applyFill="1" applyBorder="1"/>
    <xf numFmtId="0" fontId="5" fillId="0" borderId="38" xfId="5" applyFont="1" applyFill="1" applyBorder="1"/>
    <xf numFmtId="165" fontId="9" fillId="0" borderId="47" xfId="6" applyNumberFormat="1" applyFont="1" applyFill="1" applyBorder="1" applyAlignment="1"/>
    <xf numFmtId="165" fontId="9" fillId="0" borderId="48" xfId="6" applyNumberFormat="1" applyFont="1" applyFill="1" applyBorder="1" applyAlignment="1"/>
    <xf numFmtId="165" fontId="9" fillId="0" borderId="41" xfId="6" applyNumberFormat="1" applyFont="1" applyFill="1" applyBorder="1" applyAlignment="1"/>
    <xf numFmtId="165" fontId="9" fillId="0" borderId="51" xfId="6" applyNumberFormat="1" applyFont="1" applyFill="1" applyBorder="1" applyAlignment="1"/>
    <xf numFmtId="165" fontId="9" fillId="0" borderId="6" xfId="6" applyNumberFormat="1" applyFont="1" applyFill="1" applyBorder="1" applyAlignment="1"/>
    <xf numFmtId="165" fontId="9" fillId="0" borderId="50" xfId="6" applyNumberFormat="1" applyFont="1" applyFill="1" applyBorder="1" applyAlignment="1"/>
    <xf numFmtId="14" fontId="5" fillId="0" borderId="51" xfId="5" applyNumberFormat="1" applyFont="1" applyFill="1" applyBorder="1"/>
    <xf numFmtId="14" fontId="5" fillId="0" borderId="6" xfId="5" applyNumberFormat="1" applyFont="1" applyFill="1" applyBorder="1"/>
    <xf numFmtId="0" fontId="5" fillId="0" borderId="6" xfId="5" applyFont="1" applyFill="1" applyBorder="1"/>
    <xf numFmtId="0" fontId="5" fillId="0" borderId="50" xfId="5" applyFont="1" applyFill="1" applyBorder="1"/>
    <xf numFmtId="165" fontId="9" fillId="0" borderId="14" xfId="6" applyNumberFormat="1" applyFont="1" applyFill="1" applyBorder="1" applyAlignment="1"/>
    <xf numFmtId="165" fontId="9" fillId="0" borderId="0" xfId="6" applyNumberFormat="1" applyFont="1" applyFill="1" applyBorder="1" applyAlignment="1"/>
    <xf numFmtId="165" fontId="9" fillId="0" borderId="15" xfId="6" applyNumberFormat="1" applyFont="1" applyFill="1" applyBorder="1" applyAlignment="1"/>
    <xf numFmtId="14" fontId="5" fillId="0" borderId="44" xfId="5" applyNumberFormat="1" applyFont="1" applyFill="1" applyBorder="1"/>
    <xf numFmtId="14" fontId="5" fillId="0" borderId="45" xfId="5" applyNumberFormat="1" applyFont="1" applyFill="1" applyBorder="1"/>
    <xf numFmtId="0" fontId="5" fillId="0" borderId="45" xfId="5" applyFont="1" applyFill="1" applyBorder="1"/>
    <xf numFmtId="0" fontId="5" fillId="0" borderId="46" xfId="5" applyFont="1" applyFill="1" applyBorder="1"/>
    <xf numFmtId="165" fontId="9" fillId="0" borderId="16" xfId="6" applyNumberFormat="1" applyFont="1" applyFill="1" applyBorder="1" applyAlignment="1"/>
    <xf numFmtId="165" fontId="9" fillId="0" borderId="17" xfId="6" applyNumberFormat="1" applyFont="1" applyFill="1" applyBorder="1" applyAlignment="1"/>
    <xf numFmtId="165" fontId="9" fillId="0" borderId="18" xfId="6" applyNumberFormat="1" applyFont="1" applyFill="1" applyBorder="1" applyAlignment="1"/>
    <xf numFmtId="165" fontId="9" fillId="0" borderId="44" xfId="6" applyNumberFormat="1" applyFont="1" applyFill="1" applyBorder="1" applyAlignment="1"/>
    <xf numFmtId="165" fontId="9" fillId="0" borderId="45" xfId="6" applyNumberFormat="1" applyFont="1" applyFill="1" applyBorder="1" applyAlignment="1"/>
    <xf numFmtId="165" fontId="9" fillId="0" borderId="46" xfId="6" applyNumberFormat="1" applyFont="1" applyFill="1" applyBorder="1" applyAlignment="1"/>
    <xf numFmtId="0" fontId="5" fillId="0" borderId="0" xfId="5" applyFont="1" applyFill="1"/>
    <xf numFmtId="165" fontId="9" fillId="0" borderId="0" xfId="5" applyNumberFormat="1" applyFont="1" applyFill="1" applyAlignment="1"/>
    <xf numFmtId="173" fontId="9" fillId="0" borderId="0" xfId="5" applyNumberFormat="1" applyFont="1" applyFill="1" applyAlignment="1"/>
    <xf numFmtId="2" fontId="9" fillId="0" borderId="0" xfId="5" applyNumberFormat="1" applyFont="1" applyFill="1" applyAlignment="1"/>
    <xf numFmtId="0" fontId="9" fillId="0" borderId="0" xfId="5" applyFont="1" applyFill="1" applyAlignment="1"/>
    <xf numFmtId="0" fontId="5" fillId="0" borderId="22" xfId="5" applyFont="1" applyBorder="1" applyAlignment="1">
      <alignment horizontal="center"/>
    </xf>
    <xf numFmtId="171" fontId="7" fillId="0" borderId="47" xfId="5" applyNumberFormat="1" applyFont="1" applyBorder="1" applyAlignment="1">
      <alignment horizontal="center"/>
    </xf>
    <xf numFmtId="171" fontId="7" fillId="0" borderId="48" xfId="5" applyNumberFormat="1" applyFont="1" applyBorder="1" applyAlignment="1">
      <alignment horizontal="center"/>
    </xf>
    <xf numFmtId="171" fontId="7" fillId="0" borderId="41" xfId="5" applyNumberFormat="1" applyFont="1" applyBorder="1" applyAlignment="1">
      <alignment horizontal="center"/>
    </xf>
    <xf numFmtId="0" fontId="5" fillId="0" borderId="21" xfId="5" applyFont="1" applyBorder="1" applyAlignment="1">
      <alignment horizontal="center"/>
    </xf>
    <xf numFmtId="172" fontId="11" fillId="0" borderId="14" xfId="5" applyNumberFormat="1" applyFont="1" applyFill="1" applyBorder="1" applyAlignment="1">
      <alignment horizontal="center"/>
    </xf>
    <xf numFmtId="172" fontId="11" fillId="0" borderId="0" xfId="5" applyNumberFormat="1" applyFont="1" applyFill="1" applyBorder="1" applyAlignment="1">
      <alignment horizontal="center"/>
    </xf>
    <xf numFmtId="172" fontId="11" fillId="0" borderId="15" xfId="5" applyNumberFormat="1" applyFont="1" applyFill="1" applyBorder="1" applyAlignment="1">
      <alignment horizontal="center"/>
    </xf>
    <xf numFmtId="0" fontId="5" fillId="0" borderId="22" xfId="5" applyFont="1" applyBorder="1"/>
    <xf numFmtId="0" fontId="5" fillId="0" borderId="23" xfId="5" applyFont="1" applyBorder="1" applyAlignment="1">
      <alignment horizontal="right"/>
    </xf>
    <xf numFmtId="0" fontId="5" fillId="0" borderId="24" xfId="5" applyFont="1" applyBorder="1" applyAlignment="1">
      <alignment horizontal="right"/>
    </xf>
    <xf numFmtId="0" fontId="5" fillId="0" borderId="20" xfId="5" applyFont="1" applyBorder="1" applyAlignment="1">
      <alignment horizontal="left" indent="1"/>
    </xf>
    <xf numFmtId="170" fontId="5" fillId="0" borderId="0" xfId="5" applyNumberFormat="1" applyFont="1" applyBorder="1" applyAlignment="1">
      <alignment horizontal="right"/>
    </xf>
    <xf numFmtId="170" fontId="5" fillId="0" borderId="25" xfId="5" applyNumberFormat="1" applyFont="1" applyBorder="1" applyAlignment="1">
      <alignment horizontal="right"/>
    </xf>
    <xf numFmtId="165" fontId="5" fillId="0" borderId="0" xfId="5" applyNumberFormat="1" applyFont="1" applyBorder="1" applyAlignment="1">
      <alignment horizontal="right"/>
    </xf>
    <xf numFmtId="165" fontId="5" fillId="0" borderId="25" xfId="5" applyNumberFormat="1" applyFont="1" applyBorder="1" applyAlignment="1">
      <alignment horizontal="right"/>
    </xf>
    <xf numFmtId="0" fontId="5" fillId="0" borderId="21" xfId="5" applyFont="1" applyBorder="1" applyAlignment="1">
      <alignment horizontal="left" indent="1"/>
    </xf>
    <xf numFmtId="165" fontId="5" fillId="0" borderId="5" xfId="5" applyNumberFormat="1" applyFont="1" applyBorder="1" applyAlignment="1">
      <alignment horizontal="right"/>
    </xf>
    <xf numFmtId="165" fontId="5" fillId="0" borderId="26" xfId="5" applyNumberFormat="1" applyFont="1" applyBorder="1" applyAlignment="1">
      <alignment horizontal="right"/>
    </xf>
    <xf numFmtId="164" fontId="5" fillId="0" borderId="0" xfId="0" applyNumberFormat="1" applyFont="1" applyBorder="1" applyAlignment="1">
      <alignment horizontal="right"/>
    </xf>
    <xf numFmtId="166" fontId="5" fillId="0" borderId="0" xfId="2" applyNumberFormat="1" applyFont="1" applyBorder="1" applyAlignment="1">
      <alignment horizontal="right"/>
    </xf>
    <xf numFmtId="14" fontId="1" fillId="0" borderId="22" xfId="5" applyNumberFormat="1" applyFont="1" applyBorder="1"/>
    <xf numFmtId="14" fontId="1" fillId="0" borderId="21" xfId="5" applyNumberFormat="1" applyFont="1" applyBorder="1"/>
    <xf numFmtId="0" fontId="1" fillId="0" borderId="0" xfId="5" applyFont="1" applyBorder="1" applyAlignment="1">
      <alignment horizontal="fill"/>
    </xf>
    <xf numFmtId="0" fontId="1" fillId="0" borderId="22" xfId="5" applyFont="1" applyBorder="1"/>
    <xf numFmtId="0" fontId="1" fillId="0" borderId="24" xfId="5" applyFont="1" applyBorder="1" applyAlignment="1">
      <alignment horizontal="right"/>
    </xf>
    <xf numFmtId="0" fontId="1" fillId="0" borderId="8" xfId="5" applyFont="1" applyBorder="1" applyAlignment="1">
      <alignment horizontal="right"/>
    </xf>
    <xf numFmtId="0" fontId="1" fillId="0" borderId="8" xfId="5" applyFont="1" applyBorder="1" applyAlignment="1">
      <alignment horizontal="center"/>
    </xf>
    <xf numFmtId="0" fontId="1" fillId="0" borderId="2" xfId="5" applyFont="1" applyBorder="1" applyAlignment="1">
      <alignment horizontal="centerContinuous"/>
    </xf>
    <xf numFmtId="0" fontId="1" fillId="0" borderId="3" xfId="5" applyFont="1" applyBorder="1" applyAlignment="1">
      <alignment horizontal="centerContinuous"/>
    </xf>
    <xf numFmtId="0" fontId="1" fillId="0" borderId="20" xfId="5" applyFont="1" applyBorder="1" applyAlignment="1">
      <alignment horizontal="left" indent="1"/>
    </xf>
    <xf numFmtId="170" fontId="1" fillId="0" borderId="25" xfId="5" applyNumberFormat="1" applyFont="1" applyBorder="1" applyAlignment="1">
      <alignment horizontal="right"/>
    </xf>
    <xf numFmtId="170" fontId="1" fillId="0" borderId="6" xfId="5" applyNumberFormat="1" applyFont="1" applyBorder="1" applyAlignment="1">
      <alignment horizontal="right"/>
    </xf>
    <xf numFmtId="0" fontId="1" fillId="0" borderId="0" xfId="5" applyFont="1" applyAlignment="1">
      <alignment horizontal="right"/>
    </xf>
    <xf numFmtId="165" fontId="1" fillId="0" borderId="25" xfId="5" applyNumberFormat="1" applyFont="1" applyBorder="1" applyAlignment="1">
      <alignment horizontal="right"/>
    </xf>
    <xf numFmtId="165" fontId="1" fillId="0" borderId="6" xfId="5" applyNumberFormat="1" applyFont="1" applyBorder="1" applyAlignment="1">
      <alignment horizontal="right"/>
    </xf>
    <xf numFmtId="178" fontId="1" fillId="0" borderId="8" xfId="7" applyNumberFormat="1" applyFont="1" applyBorder="1" applyAlignment="1">
      <alignment horizontal="right"/>
    </xf>
    <xf numFmtId="178" fontId="1" fillId="0" borderId="6" xfId="7" applyNumberFormat="1" applyFont="1" applyBorder="1" applyAlignment="1">
      <alignment horizontal="right"/>
    </xf>
    <xf numFmtId="0" fontId="1" fillId="0" borderId="21" xfId="5" applyFont="1" applyBorder="1" applyAlignment="1">
      <alignment horizontal="left" indent="1"/>
    </xf>
    <xf numFmtId="165" fontId="1" fillId="0" borderId="26" xfId="5" applyNumberFormat="1" applyFont="1" applyBorder="1" applyAlignment="1">
      <alignment horizontal="right"/>
    </xf>
    <xf numFmtId="165" fontId="1" fillId="0" borderId="7" xfId="5" applyNumberFormat="1" applyFont="1" applyBorder="1" applyAlignment="1">
      <alignment horizontal="right"/>
    </xf>
    <xf numFmtId="176" fontId="1" fillId="0" borderId="0" xfId="5" applyNumberFormat="1" applyFont="1" applyAlignment="1">
      <alignment horizontal="right"/>
    </xf>
    <xf numFmtId="43" fontId="1" fillId="0" borderId="7" xfId="5" applyNumberFormat="1" applyFont="1" applyBorder="1" applyAlignment="1">
      <alignment horizontal="right"/>
    </xf>
    <xf numFmtId="0" fontId="1" fillId="0" borderId="0" xfId="5" applyFont="1"/>
    <xf numFmtId="177" fontId="1" fillId="0" borderId="0" xfId="7" applyNumberFormat="1" applyFont="1"/>
    <xf numFmtId="0" fontId="1" fillId="0" borderId="0" xfId="0" applyFont="1" applyAlignment="1">
      <alignment horizontal="left" indent="1"/>
    </xf>
    <xf numFmtId="0" fontId="1" fillId="2" borderId="0" xfId="0" applyFont="1" applyFill="1"/>
    <xf numFmtId="0" fontId="13" fillId="2" borderId="0" xfId="0" applyFont="1" applyFill="1" applyAlignment="1">
      <alignment horizontal="fill"/>
    </xf>
    <xf numFmtId="164" fontId="13" fillId="2" borderId="0" xfId="0" applyNumberFormat="1" applyFont="1" applyFill="1" applyAlignment="1">
      <alignment horizontal="fill"/>
    </xf>
    <xf numFmtId="0" fontId="1" fillId="2" borderId="0" xfId="0" applyFont="1" applyFill="1" applyAlignment="1">
      <alignment horizontal="right"/>
    </xf>
    <xf numFmtId="164" fontId="1" fillId="0" borderId="23" xfId="0" applyNumberFormat="1" applyFont="1" applyBorder="1"/>
    <xf numFmtId="165" fontId="1" fillId="0" borderId="54" xfId="2" applyNumberFormat="1" applyFont="1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2" xfId="0" applyBorder="1" applyAlignment="1">
      <alignment horizontal="centerContinuous"/>
    </xf>
    <xf numFmtId="0" fontId="0" fillId="0" borderId="3" xfId="0" applyBorder="1" applyAlignment="1">
      <alignment horizontal="centerContinuous"/>
    </xf>
    <xf numFmtId="0" fontId="0" fillId="0" borderId="24" xfId="0" applyBorder="1" applyAlignment="1">
      <alignment horizontal="center"/>
    </xf>
    <xf numFmtId="0" fontId="0" fillId="2" borderId="0" xfId="0" applyFill="1"/>
    <xf numFmtId="43" fontId="0" fillId="0" borderId="8" xfId="0" applyNumberFormat="1" applyBorder="1"/>
    <xf numFmtId="43" fontId="0" fillId="0" borderId="6" xfId="0" applyNumberFormat="1" applyBorder="1"/>
    <xf numFmtId="43" fontId="0" fillId="0" borderId="7" xfId="0" applyNumberFormat="1" applyBorder="1"/>
    <xf numFmtId="43" fontId="1" fillId="0" borderId="0" xfId="2" applyNumberFormat="1" applyFont="1" applyBorder="1"/>
    <xf numFmtId="43" fontId="0" fillId="0" borderId="0" xfId="0" applyNumberFormat="1" applyBorder="1"/>
    <xf numFmtId="43" fontId="0" fillId="0" borderId="0" xfId="2" applyFont="1" applyBorder="1"/>
    <xf numFmtId="0" fontId="0" fillId="0" borderId="4" xfId="0" applyBorder="1" applyAlignment="1">
      <alignment horizontal="center"/>
    </xf>
    <xf numFmtId="0" fontId="13" fillId="2" borderId="0" xfId="0" applyFont="1" applyFill="1" applyAlignment="1">
      <alignment horizontal="centerContinuous"/>
    </xf>
    <xf numFmtId="0" fontId="12" fillId="2" borderId="0" xfId="0" applyFont="1" applyFill="1" applyAlignment="1">
      <alignment horizontal="centerContinuous"/>
    </xf>
    <xf numFmtId="165" fontId="0" fillId="0" borderId="8" xfId="2" applyNumberFormat="1" applyFont="1" applyBorder="1"/>
    <xf numFmtId="0" fontId="0" fillId="0" borderId="22" xfId="0" applyBorder="1" applyAlignment="1">
      <alignment horizontal="center"/>
    </xf>
    <xf numFmtId="43" fontId="0" fillId="0" borderId="22" xfId="0" applyNumberFormat="1" applyBorder="1"/>
    <xf numFmtId="43" fontId="0" fillId="0" borderId="20" xfId="0" applyNumberFormat="1" applyBorder="1"/>
    <xf numFmtId="43" fontId="0" fillId="0" borderId="21" xfId="0" applyNumberFormat="1" applyBorder="1"/>
    <xf numFmtId="0" fontId="1" fillId="0" borderId="49" xfId="0" applyFont="1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39" xfId="0" applyBorder="1" applyAlignment="1">
      <alignment horizontal="center"/>
    </xf>
    <xf numFmtId="43" fontId="0" fillId="0" borderId="55" xfId="0" applyNumberFormat="1" applyBorder="1"/>
    <xf numFmtId="43" fontId="0" fillId="0" borderId="49" xfId="2" applyFont="1" applyBorder="1"/>
    <xf numFmtId="43" fontId="0" fillId="0" borderId="51" xfId="0" applyNumberFormat="1" applyBorder="1"/>
    <xf numFmtId="43" fontId="0" fillId="0" borderId="50" xfId="2" applyFont="1" applyBorder="1"/>
    <xf numFmtId="43" fontId="0" fillId="0" borderId="50" xfId="0" applyNumberFormat="1" applyBorder="1"/>
    <xf numFmtId="0" fontId="0" fillId="0" borderId="55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2" xfId="0" applyBorder="1" applyAlignment="1">
      <alignment horizontal="center"/>
    </xf>
    <xf numFmtId="165" fontId="0" fillId="0" borderId="55" xfId="2" applyNumberFormat="1" applyFont="1" applyBorder="1"/>
    <xf numFmtId="165" fontId="0" fillId="0" borderId="49" xfId="2" applyNumberFormat="1" applyFont="1" applyBorder="1"/>
    <xf numFmtId="0" fontId="5" fillId="2" borderId="0" xfId="5" applyFont="1" applyFill="1"/>
    <xf numFmtId="0" fontId="5" fillId="2" borderId="0" xfId="5" applyFont="1" applyFill="1" applyAlignment="1"/>
    <xf numFmtId="0" fontId="5" fillId="2" borderId="0" xfId="0" applyFont="1" applyFill="1"/>
    <xf numFmtId="0" fontId="5" fillId="2" borderId="0" xfId="0" applyFont="1" applyFill="1" applyAlignment="1">
      <alignment horizontal="right"/>
    </xf>
    <xf numFmtId="169" fontId="5" fillId="2" borderId="0" xfId="4" applyNumberFormat="1" applyFont="1" applyFill="1"/>
    <xf numFmtId="169" fontId="5" fillId="2" borderId="0" xfId="4" applyNumberFormat="1" applyFont="1" applyFill="1" applyAlignment="1">
      <alignment horizontal="center"/>
    </xf>
    <xf numFmtId="171" fontId="7" fillId="2" borderId="0" xfId="5" applyNumberFormat="1" applyFont="1" applyFill="1" applyAlignment="1">
      <alignment horizontal="center"/>
    </xf>
    <xf numFmtId="0" fontId="10" fillId="2" borderId="0" xfId="5" applyFont="1" applyFill="1" applyBorder="1" applyAlignment="1">
      <alignment horizontal="fill"/>
    </xf>
    <xf numFmtId="0" fontId="10" fillId="0" borderId="0" xfId="5" applyFont="1" applyFill="1" applyBorder="1" applyAlignment="1">
      <alignment horizontal="fill"/>
    </xf>
    <xf numFmtId="0" fontId="5" fillId="0" borderId="0" xfId="5" applyFont="1" applyFill="1" applyAlignment="1">
      <alignment horizontal="right"/>
    </xf>
    <xf numFmtId="0" fontId="5" fillId="0" borderId="20" xfId="5" applyFont="1" applyBorder="1" applyAlignment="1">
      <alignment horizontal="center"/>
    </xf>
    <xf numFmtId="0" fontId="9" fillId="0" borderId="1" xfId="5" applyNumberFormat="1" applyFont="1" applyFill="1" applyBorder="1" applyAlignment="1">
      <alignment horizontal="center"/>
    </xf>
    <xf numFmtId="0" fontId="5" fillId="2" borderId="0" xfId="5" applyFont="1" applyFill="1" applyAlignment="1">
      <alignment horizontal="right"/>
    </xf>
    <xf numFmtId="0" fontId="0" fillId="0" borderId="56" xfId="0" applyBorder="1"/>
    <xf numFmtId="43" fontId="3" fillId="0" borderId="57" xfId="2" applyFont="1" applyBorder="1"/>
    <xf numFmtId="0" fontId="0" fillId="0" borderId="58" xfId="0" applyBorder="1"/>
    <xf numFmtId="0" fontId="0" fillId="0" borderId="59" xfId="0" applyBorder="1"/>
    <xf numFmtId="0" fontId="0" fillId="0" borderId="60" xfId="0" applyBorder="1"/>
    <xf numFmtId="0" fontId="1" fillId="0" borderId="61" xfId="0" applyFont="1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63" xfId="0" applyBorder="1" applyAlignment="1">
      <alignment horizontal="center"/>
    </xf>
    <xf numFmtId="0" fontId="0" fillId="0" borderId="64" xfId="0" applyBorder="1" applyAlignment="1">
      <alignment horizontal="center"/>
    </xf>
    <xf numFmtId="43" fontId="0" fillId="0" borderId="61" xfId="0" applyNumberFormat="1" applyBorder="1"/>
    <xf numFmtId="43" fontId="0" fillId="0" borderId="65" xfId="2" applyFont="1" applyBorder="1"/>
    <xf numFmtId="43" fontId="0" fillId="0" borderId="66" xfId="0" applyNumberFormat="1" applyBorder="1"/>
    <xf numFmtId="43" fontId="0" fillId="0" borderId="67" xfId="2" applyFont="1" applyBorder="1"/>
    <xf numFmtId="43" fontId="0" fillId="0" borderId="67" xfId="0" applyNumberFormat="1" applyBorder="1"/>
    <xf numFmtId="43" fontId="0" fillId="0" borderId="68" xfId="0" applyNumberFormat="1" applyBorder="1"/>
    <xf numFmtId="43" fontId="0" fillId="0" borderId="69" xfId="0" applyNumberFormat="1" applyBorder="1"/>
    <xf numFmtId="43" fontId="0" fillId="0" borderId="70" xfId="2" applyFont="1" applyBorder="1"/>
    <xf numFmtId="43" fontId="0" fillId="0" borderId="71" xfId="0" applyNumberFormat="1" applyBorder="1"/>
    <xf numFmtId="43" fontId="0" fillId="0" borderId="72" xfId="2" applyFont="1" applyBorder="1"/>
    <xf numFmtId="0" fontId="0" fillId="0" borderId="73" xfId="0" applyBorder="1" applyAlignment="1">
      <alignment horizontal="centerContinuous"/>
    </xf>
    <xf numFmtId="0" fontId="0" fillId="0" borderId="74" xfId="0" applyBorder="1" applyAlignment="1">
      <alignment horizontal="centerContinuous"/>
    </xf>
    <xf numFmtId="0" fontId="0" fillId="0" borderId="75" xfId="0" applyBorder="1" applyAlignment="1">
      <alignment horizontal="centerContinuous"/>
    </xf>
    <xf numFmtId="3" fontId="5" fillId="0" borderId="18" xfId="2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75" fontId="0" fillId="0" borderId="0" xfId="3" applyNumberFormat="1" applyFont="1"/>
    <xf numFmtId="0" fontId="0" fillId="2" borderId="0" xfId="0" applyFill="1" applyAlignment="1">
      <alignment horizontal="centerContinuous"/>
    </xf>
    <xf numFmtId="0" fontId="1" fillId="0" borderId="76" xfId="0" applyFont="1" applyBorder="1" applyAlignment="1">
      <alignment horizontal="center"/>
    </xf>
    <xf numFmtId="0" fontId="5" fillId="0" borderId="47" xfId="0" applyNumberFormat="1" applyFont="1" applyBorder="1" applyAlignment="1">
      <alignment horizontal="center"/>
    </xf>
    <xf numFmtId="165" fontId="5" fillId="0" borderId="47" xfId="4" applyNumberFormat="1" applyFont="1" applyBorder="1"/>
    <xf numFmtId="165" fontId="5" fillId="0" borderId="14" xfId="4" applyNumberFormat="1" applyFont="1" applyBorder="1"/>
    <xf numFmtId="165" fontId="5" fillId="0" borderId="16" xfId="4" applyNumberFormat="1" applyFont="1" applyBorder="1"/>
    <xf numFmtId="0" fontId="5" fillId="0" borderId="28" xfId="0" applyNumberFormat="1" applyFont="1" applyBorder="1" applyAlignment="1">
      <alignment horizontal="center"/>
    </xf>
    <xf numFmtId="165" fontId="5" fillId="0" borderId="25" xfId="4" applyNumberFormat="1" applyFont="1" applyBorder="1"/>
    <xf numFmtId="165" fontId="5" fillId="0" borderId="77" xfId="4" applyNumberFormat="1" applyFont="1" applyBorder="1"/>
    <xf numFmtId="165" fontId="5" fillId="0" borderId="78" xfId="4" applyNumberFormat="1" applyFont="1" applyBorder="1"/>
    <xf numFmtId="167" fontId="5" fillId="0" borderId="77" xfId="0" applyNumberFormat="1" applyFont="1" applyBorder="1" applyAlignment="1">
      <alignment horizontal="center"/>
    </xf>
    <xf numFmtId="168" fontId="5" fillId="0" borderId="78" xfId="4" applyNumberFormat="1" applyFont="1" applyBorder="1"/>
    <xf numFmtId="168" fontId="5" fillId="0" borderId="25" xfId="4" applyNumberFormat="1" applyFont="1" applyBorder="1"/>
    <xf numFmtId="168" fontId="5" fillId="0" borderId="77" xfId="4" applyNumberFormat="1" applyFont="1" applyBorder="1"/>
    <xf numFmtId="43" fontId="5" fillId="0" borderId="0" xfId="5" applyNumberFormat="1" applyFont="1" applyBorder="1" applyAlignment="1">
      <alignment horizontal="right"/>
    </xf>
    <xf numFmtId="0" fontId="5" fillId="0" borderId="24" xfId="5" applyFont="1" applyFill="1" applyBorder="1" applyAlignment="1">
      <alignment horizontal="right"/>
    </xf>
    <xf numFmtId="0" fontId="9" fillId="0" borderId="25" xfId="5" applyFont="1" applyFill="1" applyBorder="1" applyAlignment="1">
      <alignment horizontal="center"/>
    </xf>
    <xf numFmtId="43" fontId="9" fillId="0" borderId="25" xfId="5" applyNumberFormat="1" applyFont="1" applyFill="1" applyBorder="1" applyAlignment="1">
      <alignment horizontal="center"/>
    </xf>
    <xf numFmtId="0" fontId="9" fillId="0" borderId="26" xfId="5" applyFont="1" applyFill="1" applyBorder="1" applyAlignment="1">
      <alignment horizontal="center"/>
    </xf>
    <xf numFmtId="0" fontId="10" fillId="2" borderId="0" xfId="0" applyFont="1" applyFill="1" applyAlignment="1">
      <alignment horizontal="fill"/>
    </xf>
    <xf numFmtId="0" fontId="0" fillId="0" borderId="0" xfId="0" applyFont="1" applyAlignment="1">
      <alignment horizontal="right"/>
    </xf>
    <xf numFmtId="179" fontId="0" fillId="0" borderId="0" xfId="6" applyNumberFormat="1" applyFont="1" applyBorder="1" applyAlignment="1">
      <alignment horizontal="left"/>
    </xf>
    <xf numFmtId="0" fontId="0" fillId="2" borderId="0" xfId="0" applyFont="1" applyFill="1"/>
    <xf numFmtId="0" fontId="0" fillId="0" borderId="0" xfId="0" applyFont="1"/>
    <xf numFmtId="164" fontId="0" fillId="0" borderId="0" xfId="0" applyNumberFormat="1" applyFont="1" applyBorder="1"/>
    <xf numFmtId="0" fontId="0" fillId="0" borderId="0" xfId="0" applyFont="1" applyBorder="1" applyAlignment="1">
      <alignment horizontal="right"/>
    </xf>
    <xf numFmtId="170" fontId="0" fillId="0" borderId="0" xfId="0" applyNumberFormat="1" applyFont="1" applyBorder="1" applyAlignment="1">
      <alignment horizontal="right"/>
    </xf>
    <xf numFmtId="165" fontId="0" fillId="0" borderId="0" xfId="4" applyNumberFormat="1" applyFont="1" applyBorder="1"/>
    <xf numFmtId="164" fontId="0" fillId="2" borderId="0" xfId="0" applyNumberFormat="1" applyFont="1" applyFill="1" applyBorder="1"/>
    <xf numFmtId="0" fontId="0" fillId="2" borderId="0" xfId="0" applyFont="1" applyFill="1" applyBorder="1" applyAlignment="1">
      <alignment horizontal="right"/>
    </xf>
    <xf numFmtId="170" fontId="0" fillId="2" borderId="0" xfId="0" applyNumberFormat="1" applyFont="1" applyFill="1" applyBorder="1" applyAlignment="1">
      <alignment horizontal="right"/>
    </xf>
    <xf numFmtId="165" fontId="0" fillId="2" borderId="0" xfId="4" applyNumberFormat="1" applyFont="1" applyFill="1" applyBorder="1"/>
    <xf numFmtId="0" fontId="0" fillId="2" borderId="0" xfId="0" applyFont="1" applyFill="1" applyAlignment="1">
      <alignment horizontal="fill"/>
    </xf>
    <xf numFmtId="164" fontId="0" fillId="2" borderId="0" xfId="0" applyNumberFormat="1" applyFont="1" applyFill="1" applyAlignment="1">
      <alignment horizontal="fill"/>
    </xf>
    <xf numFmtId="164" fontId="0" fillId="0" borderId="0" xfId="0" applyNumberFormat="1" applyFont="1"/>
    <xf numFmtId="0" fontId="0" fillId="0" borderId="28" xfId="0" applyFont="1" applyBorder="1" applyAlignment="1">
      <alignment horizontal="fill"/>
    </xf>
    <xf numFmtId="0" fontId="0" fillId="0" borderId="29" xfId="0" applyFont="1" applyBorder="1" applyAlignment="1">
      <alignment horizontal="fill"/>
    </xf>
    <xf numFmtId="164" fontId="0" fillId="0" borderId="29" xfId="0" applyNumberFormat="1" applyFont="1" applyBorder="1" applyAlignment="1">
      <alignment horizontal="fill"/>
    </xf>
    <xf numFmtId="0" fontId="0" fillId="0" borderId="30" xfId="0" applyFont="1" applyBorder="1" applyAlignment="1">
      <alignment horizontal="fill"/>
    </xf>
    <xf numFmtId="0" fontId="0" fillId="0" borderId="28" xfId="0" applyFont="1" applyBorder="1" applyAlignment="1">
      <alignment horizontal="centerContinuous"/>
    </xf>
    <xf numFmtId="0" fontId="0" fillId="0" borderId="29" xfId="0" applyFont="1" applyBorder="1" applyAlignment="1">
      <alignment horizontal="centerContinuous"/>
    </xf>
    <xf numFmtId="0" fontId="0" fillId="0" borderId="30" xfId="0" applyFont="1" applyBorder="1" applyAlignment="1">
      <alignment horizontal="centerContinuous"/>
    </xf>
    <xf numFmtId="0" fontId="0" fillId="5" borderId="9" xfId="0" applyNumberFormat="1" applyFont="1" applyFill="1" applyBorder="1" applyAlignment="1">
      <alignment horizontal="centerContinuous"/>
    </xf>
    <xf numFmtId="0" fontId="0" fillId="5" borderId="10" xfId="0" applyNumberFormat="1" applyFont="1" applyFill="1" applyBorder="1" applyAlignment="1">
      <alignment horizontal="centerContinuous"/>
    </xf>
    <xf numFmtId="0" fontId="0" fillId="5" borderId="11" xfId="0" applyNumberFormat="1" applyFont="1" applyFill="1" applyBorder="1" applyAlignment="1">
      <alignment horizontal="centerContinuous"/>
    </xf>
    <xf numFmtId="0" fontId="0" fillId="5" borderId="19" xfId="0" applyNumberFormat="1" applyFont="1" applyFill="1" applyBorder="1" applyAlignment="1">
      <alignment horizontal="centerContinuous"/>
    </xf>
    <xf numFmtId="0" fontId="0" fillId="3" borderId="9" xfId="0" applyNumberFormat="1" applyFont="1" applyFill="1" applyBorder="1" applyAlignment="1">
      <alignment horizontal="centerContinuous"/>
    </xf>
    <xf numFmtId="0" fontId="0" fillId="3" borderId="10" xfId="0" applyNumberFormat="1" applyFont="1" applyFill="1" applyBorder="1" applyAlignment="1">
      <alignment horizontal="centerContinuous"/>
    </xf>
    <xf numFmtId="0" fontId="0" fillId="3" borderId="11" xfId="0" applyNumberFormat="1" applyFont="1" applyFill="1" applyBorder="1" applyAlignment="1">
      <alignment horizontal="centerContinuous"/>
    </xf>
    <xf numFmtId="0" fontId="0" fillId="3" borderId="33" xfId="0" applyNumberFormat="1" applyFont="1" applyFill="1" applyBorder="1" applyAlignment="1">
      <alignment horizontal="centerContinuous"/>
    </xf>
    <xf numFmtId="0" fontId="0" fillId="4" borderId="10" xfId="0" applyNumberFormat="1" applyFont="1" applyFill="1" applyBorder="1" applyAlignment="1">
      <alignment horizontal="centerContinuous"/>
    </xf>
    <xf numFmtId="0" fontId="0" fillId="4" borderId="11" xfId="0" applyNumberFormat="1" applyFont="1" applyFill="1" applyBorder="1" applyAlignment="1">
      <alignment horizontal="centerContinuous"/>
    </xf>
    <xf numFmtId="0" fontId="0" fillId="0" borderId="18" xfId="0" applyFont="1" applyBorder="1" applyAlignment="1">
      <alignment horizontal="center"/>
    </xf>
    <xf numFmtId="0" fontId="0" fillId="5" borderId="7" xfId="0" applyFont="1" applyFill="1" applyBorder="1" applyAlignment="1">
      <alignment horizontal="center"/>
    </xf>
    <xf numFmtId="0" fontId="0" fillId="3" borderId="7" xfId="0" applyFont="1" applyFill="1" applyBorder="1" applyAlignment="1">
      <alignment horizontal="center"/>
    </xf>
    <xf numFmtId="0" fontId="0" fillId="4" borderId="7" xfId="0" applyFont="1" applyFill="1" applyBorder="1" applyAlignment="1">
      <alignment horizontal="center"/>
    </xf>
    <xf numFmtId="0" fontId="0" fillId="0" borderId="39" xfId="0" applyFont="1" applyBorder="1" applyAlignment="1">
      <alignment horizontal="center"/>
    </xf>
    <xf numFmtId="17" fontId="0" fillId="5" borderId="1" xfId="0" applyNumberFormat="1" applyFont="1" applyFill="1" applyBorder="1" applyAlignment="1">
      <alignment horizontal="center"/>
    </xf>
    <xf numFmtId="17" fontId="0" fillId="5" borderId="12" xfId="0" applyNumberFormat="1" applyFont="1" applyFill="1" applyBorder="1" applyAlignment="1">
      <alignment horizontal="center"/>
    </xf>
    <xf numFmtId="17" fontId="0" fillId="3" borderId="12" xfId="0" applyNumberFormat="1" applyFont="1" applyFill="1" applyBorder="1" applyAlignment="1">
      <alignment horizontal="center"/>
    </xf>
    <xf numFmtId="17" fontId="0" fillId="3" borderId="1" xfId="0" applyNumberFormat="1" applyFont="1" applyFill="1" applyBorder="1" applyAlignment="1">
      <alignment horizontal="center"/>
    </xf>
    <xf numFmtId="17" fontId="0" fillId="3" borderId="2" xfId="0" applyNumberFormat="1" applyFont="1" applyFill="1" applyBorder="1" applyAlignment="1">
      <alignment horizontal="center"/>
    </xf>
    <xf numFmtId="17" fontId="0" fillId="3" borderId="32" xfId="0" applyNumberFormat="1" applyFont="1" applyFill="1" applyBorder="1" applyAlignment="1">
      <alignment horizontal="center"/>
    </xf>
    <xf numFmtId="17" fontId="0" fillId="4" borderId="4" xfId="0" applyNumberFormat="1" applyFont="1" applyFill="1" applyBorder="1" applyAlignment="1">
      <alignment horizontal="center"/>
    </xf>
    <xf numFmtId="17" fontId="0" fillId="4" borderId="1" xfId="0" applyNumberFormat="1" applyFont="1" applyFill="1" applyBorder="1" applyAlignment="1">
      <alignment horizontal="center"/>
    </xf>
    <xf numFmtId="17" fontId="0" fillId="4" borderId="13" xfId="0" applyNumberFormat="1" applyFont="1" applyFill="1" applyBorder="1" applyAlignment="1">
      <alignment horizontal="center"/>
    </xf>
    <xf numFmtId="0" fontId="0" fillId="0" borderId="27" xfId="0" applyFont="1" applyBorder="1" applyAlignment="1">
      <alignment horizontal="center"/>
    </xf>
    <xf numFmtId="37" fontId="0" fillId="5" borderId="7" xfId="0" applyNumberFormat="1" applyFont="1" applyFill="1" applyBorder="1" applyAlignment="1"/>
    <xf numFmtId="37" fontId="0" fillId="3" borderId="7" xfId="0" applyNumberFormat="1" applyFont="1" applyFill="1" applyBorder="1" applyAlignment="1"/>
    <xf numFmtId="37" fontId="0" fillId="4" borderId="7" xfId="0" applyNumberFormat="1" applyFont="1" applyFill="1" applyBorder="1" applyAlignment="1"/>
    <xf numFmtId="179" fontId="0" fillId="0" borderId="27" xfId="4" applyNumberFormat="1" applyFont="1" applyBorder="1" applyAlignment="1"/>
    <xf numFmtId="179" fontId="0" fillId="5" borderId="45" xfId="0" applyNumberFormat="1" applyFont="1" applyFill="1" applyBorder="1" applyAlignment="1"/>
    <xf numFmtId="179" fontId="0" fillId="3" borderId="45" xfId="0" applyNumberFormat="1" applyFont="1" applyFill="1" applyBorder="1" applyAlignment="1"/>
    <xf numFmtId="179" fontId="0" fillId="4" borderId="45" xfId="0" applyNumberFormat="1" applyFont="1" applyFill="1" applyBorder="1" applyAlignment="1"/>
    <xf numFmtId="179" fontId="1" fillId="4" borderId="46" xfId="0" applyNumberFormat="1" applyFont="1" applyFill="1" applyBorder="1" applyAlignment="1"/>
    <xf numFmtId="165" fontId="0" fillId="6" borderId="40" xfId="4" applyNumberFormat="1" applyFont="1" applyFill="1" applyBorder="1"/>
    <xf numFmtId="165" fontId="0" fillId="6" borderId="14" xfId="4" applyNumberFormat="1" applyFont="1" applyFill="1" applyBorder="1"/>
    <xf numFmtId="165" fontId="0" fillId="6" borderId="0" xfId="4" applyNumberFormat="1" applyFont="1" applyFill="1" applyBorder="1"/>
    <xf numFmtId="165" fontId="0" fillId="6" borderId="15" xfId="4" applyNumberFormat="1" applyFont="1" applyFill="1" applyBorder="1"/>
    <xf numFmtId="165" fontId="0" fillId="6" borderId="31" xfId="4" applyNumberFormat="1" applyFont="1" applyFill="1" applyBorder="1"/>
    <xf numFmtId="166" fontId="0" fillId="0" borderId="0" xfId="4" applyNumberFormat="1" applyFont="1" applyBorder="1"/>
    <xf numFmtId="165" fontId="0" fillId="7" borderId="42" xfId="4" applyNumberFormat="1" applyFont="1" applyFill="1" applyBorder="1"/>
    <xf numFmtId="165" fontId="0" fillId="7" borderId="14" xfId="4" applyNumberFormat="1" applyFont="1" applyFill="1" applyBorder="1"/>
    <xf numFmtId="165" fontId="0" fillId="7" borderId="0" xfId="4" applyNumberFormat="1" applyFont="1" applyFill="1" applyBorder="1"/>
    <xf numFmtId="165" fontId="0" fillId="7" borderId="15" xfId="4" applyNumberFormat="1" applyFont="1" applyFill="1" applyBorder="1"/>
    <xf numFmtId="165" fontId="0" fillId="8" borderId="43" xfId="4" applyNumberFormat="1" applyFont="1" applyFill="1" applyBorder="1"/>
    <xf numFmtId="165" fontId="0" fillId="8" borderId="16" xfId="4" applyNumberFormat="1" applyFont="1" applyFill="1" applyBorder="1"/>
    <xf numFmtId="165" fontId="0" fillId="8" borderId="17" xfId="4" applyNumberFormat="1" applyFont="1" applyFill="1" applyBorder="1"/>
    <xf numFmtId="165" fontId="0" fillId="8" borderId="18" xfId="4" applyNumberFormat="1" applyFont="1" applyFill="1" applyBorder="1"/>
    <xf numFmtId="165" fontId="0" fillId="6" borderId="41" xfId="4" applyNumberFormat="1" applyFont="1" applyFill="1" applyBorder="1"/>
    <xf numFmtId="179" fontId="0" fillId="5" borderId="0" xfId="0" applyNumberFormat="1" applyFont="1" applyFill="1"/>
    <xf numFmtId="179" fontId="0" fillId="3" borderId="0" xfId="0" applyNumberFormat="1" applyFont="1" applyFill="1"/>
    <xf numFmtId="179" fontId="0" fillId="0" borderId="0" xfId="0" applyNumberFormat="1" applyFont="1"/>
    <xf numFmtId="179" fontId="0" fillId="4" borderId="0" xfId="0" applyNumberFormat="1" applyFont="1" applyFill="1"/>
    <xf numFmtId="165" fontId="0" fillId="5" borderId="0" xfId="0" applyNumberFormat="1" applyFont="1" applyFill="1"/>
    <xf numFmtId="165" fontId="0" fillId="3" borderId="0" xfId="0" applyNumberFormat="1" applyFont="1" applyFill="1"/>
    <xf numFmtId="165" fontId="0" fillId="0" borderId="0" xfId="0" applyNumberFormat="1" applyFont="1"/>
    <xf numFmtId="165" fontId="0" fillId="4" borderId="0" xfId="0" applyNumberFormat="1" applyFont="1" applyFill="1"/>
    <xf numFmtId="179" fontId="5" fillId="0" borderId="0" xfId="0" applyNumberFormat="1" applyFont="1" applyAlignment="1">
      <alignment horizontal="left"/>
    </xf>
    <xf numFmtId="0" fontId="0" fillId="0" borderId="32" xfId="0" applyBorder="1" applyAlignment="1">
      <alignment horizontal="centerContinuous"/>
    </xf>
    <xf numFmtId="0" fontId="1" fillId="0" borderId="2" xfId="0" applyFont="1" applyBorder="1" applyAlignment="1">
      <alignment horizontal="center"/>
    </xf>
    <xf numFmtId="165" fontId="1" fillId="0" borderId="22" xfId="2" applyNumberFormat="1" applyFont="1" applyBorder="1"/>
    <xf numFmtId="165" fontId="1" fillId="0" borderId="20" xfId="2" applyNumberFormat="1" applyFont="1" applyBorder="1"/>
    <xf numFmtId="165" fontId="1" fillId="0" borderId="21" xfId="2" applyNumberFormat="1" applyFont="1" applyBorder="1"/>
    <xf numFmtId="165" fontId="1" fillId="0" borderId="79" xfId="2" applyNumberFormat="1" applyFont="1" applyBorder="1"/>
    <xf numFmtId="164" fontId="0" fillId="0" borderId="28" xfId="0" applyNumberFormat="1" applyFont="1" applyBorder="1" applyAlignment="1">
      <alignment horizontal="fill"/>
    </xf>
    <xf numFmtId="179" fontId="0" fillId="5" borderId="44" xfId="0" applyNumberFormat="1" applyFont="1" applyFill="1" applyBorder="1" applyAlignment="1"/>
    <xf numFmtId="179" fontId="0" fillId="5" borderId="48" xfId="0" applyNumberFormat="1" applyFont="1" applyFill="1" applyBorder="1"/>
    <xf numFmtId="0" fontId="1" fillId="0" borderId="9" xfId="5" applyFont="1" applyBorder="1" applyAlignment="1">
      <alignment horizontal="centerContinuous"/>
    </xf>
    <xf numFmtId="0" fontId="1" fillId="0" borderId="10" xfId="5" applyFont="1" applyBorder="1" applyAlignment="1">
      <alignment horizontal="centerContinuous"/>
    </xf>
    <xf numFmtId="0" fontId="1" fillId="0" borderId="11" xfId="5" applyFont="1" applyBorder="1" applyAlignment="1">
      <alignment horizontal="centerContinuous"/>
    </xf>
    <xf numFmtId="0" fontId="1" fillId="0" borderId="55" xfId="5" applyFont="1" applyBorder="1" applyAlignment="1">
      <alignment horizontal="center"/>
    </xf>
    <xf numFmtId="0" fontId="1" fillId="0" borderId="32" xfId="5" applyFont="1" applyBorder="1" applyAlignment="1">
      <alignment horizontal="centerContinuous"/>
    </xf>
    <xf numFmtId="0" fontId="1" fillId="0" borderId="52" xfId="5" applyFont="1" applyBorder="1" applyAlignment="1">
      <alignment horizontal="center"/>
    </xf>
    <xf numFmtId="0" fontId="1" fillId="0" borderId="49" xfId="5" applyFont="1" applyBorder="1" applyAlignment="1">
      <alignment horizontal="center"/>
    </xf>
    <xf numFmtId="176" fontId="1" fillId="0" borderId="55" xfId="7" applyNumberFormat="1" applyFont="1" applyBorder="1"/>
    <xf numFmtId="178" fontId="1" fillId="0" borderId="49" xfId="7" applyNumberFormat="1" applyFont="1" applyBorder="1" applyAlignment="1">
      <alignment horizontal="right"/>
    </xf>
    <xf numFmtId="176" fontId="1" fillId="0" borderId="51" xfId="7" applyNumberFormat="1" applyFont="1" applyBorder="1"/>
    <xf numFmtId="178" fontId="1" fillId="0" borderId="50" xfId="7" applyNumberFormat="1" applyFont="1" applyBorder="1" applyAlignment="1">
      <alignment horizontal="right"/>
    </xf>
    <xf numFmtId="176" fontId="1" fillId="0" borderId="44" xfId="7" applyNumberFormat="1" applyFont="1" applyBorder="1"/>
    <xf numFmtId="178" fontId="1" fillId="0" borderId="45" xfId="7" applyNumberFormat="1" applyFont="1" applyBorder="1" applyAlignment="1">
      <alignment horizontal="right"/>
    </xf>
    <xf numFmtId="178" fontId="1" fillId="0" borderId="46" xfId="7" applyNumberFormat="1" applyFont="1" applyBorder="1" applyAlignment="1">
      <alignment horizontal="right"/>
    </xf>
    <xf numFmtId="0" fontId="14" fillId="0" borderId="8" xfId="5" applyNumberFormat="1" applyFont="1" applyFill="1" applyBorder="1" applyAlignment="1">
      <alignment horizontal="center"/>
    </xf>
    <xf numFmtId="0" fontId="14" fillId="0" borderId="8" xfId="5" applyFont="1" applyFill="1" applyBorder="1" applyAlignment="1">
      <alignment horizontal="center"/>
    </xf>
    <xf numFmtId="0" fontId="1" fillId="2" borderId="0" xfId="0" applyFont="1" applyFill="1" applyAlignment="1">
      <alignment horizontal="centerContinuous"/>
    </xf>
    <xf numFmtId="0" fontId="14" fillId="0" borderId="2" xfId="0" applyFont="1" applyBorder="1" applyAlignment="1">
      <alignment horizontal="centerContinuous"/>
    </xf>
    <xf numFmtId="0" fontId="14" fillId="0" borderId="3" xfId="0" applyFont="1" applyBorder="1" applyAlignment="1">
      <alignment horizontal="centerContinuous"/>
    </xf>
    <xf numFmtId="0" fontId="14" fillId="0" borderId="4" xfId="0" applyFont="1" applyBorder="1" applyAlignment="1">
      <alignment horizontal="centerContinuous"/>
    </xf>
    <xf numFmtId="0" fontId="14" fillId="0" borderId="2" xfId="5" applyFont="1" applyBorder="1" applyAlignment="1">
      <alignment horizontal="centerContinuous"/>
    </xf>
    <xf numFmtId="0" fontId="14" fillId="0" borderId="3" xfId="5" applyFont="1" applyBorder="1" applyAlignment="1">
      <alignment horizontal="centerContinuous"/>
    </xf>
    <xf numFmtId="0" fontId="14" fillId="0" borderId="4" xfId="5" applyFont="1" applyBorder="1" applyAlignment="1">
      <alignment horizontal="centerContinuous"/>
    </xf>
    <xf numFmtId="0" fontId="14" fillId="0" borderId="8" xfId="5" applyFont="1" applyBorder="1" applyAlignment="1">
      <alignment horizontal="center"/>
    </xf>
    <xf numFmtId="0" fontId="14" fillId="0" borderId="7" xfId="5" applyFont="1" applyBorder="1" applyAlignment="1">
      <alignment horizontal="center"/>
    </xf>
    <xf numFmtId="14" fontId="14" fillId="0" borderId="24" xfId="5" applyNumberFormat="1" applyFont="1" applyBorder="1" applyAlignment="1">
      <alignment horizontal="center"/>
    </xf>
    <xf numFmtId="14" fontId="14" fillId="0" borderId="26" xfId="5" applyNumberFormat="1" applyFont="1" applyBorder="1" applyAlignment="1">
      <alignment horizontal="center"/>
    </xf>
    <xf numFmtId="176" fontId="3" fillId="0" borderId="8" xfId="7" applyNumberFormat="1" applyFont="1" applyBorder="1"/>
    <xf numFmtId="178" fontId="3" fillId="0" borderId="8" xfId="7" applyNumberFormat="1" applyFont="1" applyBorder="1" applyAlignment="1">
      <alignment horizontal="right"/>
    </xf>
    <xf numFmtId="176" fontId="3" fillId="0" borderId="6" xfId="7" applyNumberFormat="1" applyFont="1" applyBorder="1"/>
    <xf numFmtId="178" fontId="3" fillId="0" borderId="6" xfId="7" applyNumberFormat="1" applyFont="1" applyBorder="1" applyAlignment="1">
      <alignment horizontal="right"/>
    </xf>
    <xf numFmtId="176" fontId="3" fillId="0" borderId="7" xfId="7" applyNumberFormat="1" applyFont="1" applyBorder="1"/>
    <xf numFmtId="178" fontId="3" fillId="0" borderId="7" xfId="7" applyNumberFormat="1" applyFont="1" applyBorder="1" applyAlignment="1">
      <alignment horizontal="right"/>
    </xf>
    <xf numFmtId="176" fontId="3" fillId="0" borderId="55" xfId="7" applyNumberFormat="1" applyFont="1" applyBorder="1"/>
    <xf numFmtId="178" fontId="3" fillId="0" borderId="49" xfId="7" applyNumberFormat="1" applyFont="1" applyBorder="1" applyAlignment="1">
      <alignment horizontal="right"/>
    </xf>
    <xf numFmtId="176" fontId="3" fillId="0" borderId="51" xfId="7" applyNumberFormat="1" applyFont="1" applyBorder="1"/>
    <xf numFmtId="178" fontId="3" fillId="0" borderId="50" xfId="7" applyNumberFormat="1" applyFont="1" applyBorder="1" applyAlignment="1">
      <alignment horizontal="right"/>
    </xf>
    <xf numFmtId="176" fontId="3" fillId="0" borderId="44" xfId="7" applyNumberFormat="1" applyFont="1" applyBorder="1"/>
    <xf numFmtId="178" fontId="3" fillId="0" borderId="45" xfId="7" applyNumberFormat="1" applyFont="1" applyBorder="1" applyAlignment="1">
      <alignment horizontal="right"/>
    </xf>
    <xf numFmtId="178" fontId="3" fillId="0" borderId="46" xfId="7" applyNumberFormat="1" applyFont="1" applyBorder="1" applyAlignment="1">
      <alignment horizontal="right"/>
    </xf>
    <xf numFmtId="0" fontId="10" fillId="0" borderId="15" xfId="5" applyFont="1" applyFill="1" applyBorder="1" applyAlignment="1">
      <alignment horizontal="fill"/>
    </xf>
    <xf numFmtId="0" fontId="5" fillId="2" borderId="0" xfId="5" applyFont="1" applyFill="1" applyBorder="1" applyAlignment="1"/>
    <xf numFmtId="0" fontId="5" fillId="0" borderId="0" xfId="5" applyFont="1" applyBorder="1" applyAlignment="1"/>
    <xf numFmtId="0" fontId="5" fillId="0" borderId="0" xfId="5" applyFont="1" applyBorder="1"/>
    <xf numFmtId="0" fontId="5" fillId="0" borderId="0" xfId="5" applyFont="1" applyBorder="1" applyAlignment="1">
      <alignment horizontal="right"/>
    </xf>
    <xf numFmtId="0" fontId="5" fillId="2" borderId="0" xfId="5" applyFont="1" applyFill="1" applyBorder="1"/>
    <xf numFmtId="0" fontId="5" fillId="0" borderId="0" xfId="5" applyFont="1" applyFill="1" applyBorder="1"/>
    <xf numFmtId="0" fontId="11" fillId="0" borderId="40" xfId="5" applyFont="1" applyFill="1" applyBorder="1" applyAlignment="1">
      <alignment horizontal="centerContinuous"/>
    </xf>
    <xf numFmtId="0" fontId="9" fillId="0" borderId="8" xfId="6" applyNumberFormat="1" applyFont="1" applyFill="1" applyBorder="1" applyAlignment="1"/>
    <xf numFmtId="0" fontId="9" fillId="0" borderId="6" xfId="6" applyNumberFormat="1" applyFont="1" applyFill="1" applyBorder="1" applyAlignment="1"/>
    <xf numFmtId="0" fontId="5" fillId="0" borderId="6" xfId="6" applyNumberFormat="1" applyFont="1" applyFill="1" applyBorder="1" applyAlignment="1"/>
    <xf numFmtId="0" fontId="5" fillId="0" borderId="7" xfId="6" applyNumberFormat="1" applyFont="1" applyFill="1" applyBorder="1" applyAlignment="1"/>
    <xf numFmtId="0" fontId="5" fillId="0" borderId="1" xfId="5" applyFont="1" applyFill="1" applyBorder="1" applyAlignment="1">
      <alignment horizontal="center"/>
    </xf>
    <xf numFmtId="0" fontId="9" fillId="0" borderId="1" xfId="5" applyFont="1" applyFill="1" applyBorder="1" applyAlignment="1">
      <alignment horizontal="center"/>
    </xf>
    <xf numFmtId="0" fontId="9" fillId="0" borderId="2" xfId="5" applyFont="1" applyBorder="1" applyAlignment="1">
      <alignment horizontal="centerContinuous"/>
    </xf>
    <xf numFmtId="0" fontId="5" fillId="0" borderId="3" xfId="5" applyFont="1" applyBorder="1" applyAlignment="1">
      <alignment horizontal="centerContinuous"/>
    </xf>
    <xf numFmtId="0" fontId="9" fillId="0" borderId="7" xfId="5" applyNumberFormat="1" applyFont="1" applyFill="1" applyBorder="1" applyAlignment="1">
      <alignment horizontal="center"/>
    </xf>
    <xf numFmtId="0" fontId="0" fillId="0" borderId="0" xfId="0" applyFill="1"/>
    <xf numFmtId="180" fontId="1" fillId="0" borderId="24" xfId="0" quotePrefix="1" applyNumberFormat="1" applyFont="1" applyBorder="1" applyAlignment="1">
      <alignment horizontal="right"/>
    </xf>
    <xf numFmtId="180" fontId="1" fillId="0" borderId="25" xfId="0" applyNumberFormat="1" applyFont="1" applyBorder="1" applyAlignment="1">
      <alignment horizontal="right"/>
    </xf>
    <xf numFmtId="180" fontId="1" fillId="0" borderId="26" xfId="0" applyNumberFormat="1" applyFont="1" applyBorder="1" applyAlignment="1">
      <alignment horizontal="right"/>
    </xf>
    <xf numFmtId="165" fontId="1" fillId="0" borderId="31" xfId="2" applyNumberFormat="1" applyFont="1" applyBorder="1" applyAlignment="1">
      <alignment horizontal="center"/>
    </xf>
    <xf numFmtId="0" fontId="1" fillId="0" borderId="2" xfId="0" applyNumberFormat="1" applyFont="1" applyBorder="1" applyAlignment="1">
      <alignment horizontal="centerContinuous"/>
    </xf>
    <xf numFmtId="0" fontId="1" fillId="0" borderId="4" xfId="0" applyNumberFormat="1" applyFont="1" applyBorder="1" applyAlignment="1">
      <alignment horizontal="centerContinuous"/>
    </xf>
    <xf numFmtId="180" fontId="1" fillId="0" borderId="6" xfId="0" applyNumberFormat="1" applyFont="1" applyBorder="1"/>
    <xf numFmtId="180" fontId="1" fillId="0" borderId="6" xfId="1" applyNumberFormat="1" applyFont="1" applyBorder="1" applyAlignment="1"/>
    <xf numFmtId="180" fontId="1" fillId="0" borderId="7" xfId="0" applyNumberFormat="1" applyFont="1" applyBorder="1"/>
    <xf numFmtId="175" fontId="4" fillId="0" borderId="24" xfId="3" applyNumberFormat="1" applyFont="1" applyBorder="1"/>
    <xf numFmtId="175" fontId="0" fillId="0" borderId="8" xfId="3" applyNumberFormat="1" applyFont="1" applyBorder="1"/>
    <xf numFmtId="175" fontId="0" fillId="0" borderId="6" xfId="3" applyNumberFormat="1" applyFont="1" applyBorder="1"/>
    <xf numFmtId="175" fontId="15" fillId="0" borderId="6" xfId="3" applyNumberFormat="1" applyFont="1" applyBorder="1"/>
    <xf numFmtId="175" fontId="0" fillId="0" borderId="7" xfId="3" applyNumberFormat="1" applyFont="1" applyBorder="1"/>
    <xf numFmtId="0" fontId="4" fillId="0" borderId="2" xfId="0" applyFont="1" applyFill="1" applyBorder="1" applyAlignment="1">
      <alignment horizontal="centerContinuous"/>
    </xf>
    <xf numFmtId="0" fontId="4" fillId="0" borderId="3" xfId="0" applyFont="1" applyBorder="1" applyAlignment="1">
      <alignment horizontal="centerContinuous"/>
    </xf>
    <xf numFmtId="0" fontId="0" fillId="0" borderId="57" xfId="0" applyBorder="1"/>
    <xf numFmtId="0" fontId="0" fillId="0" borderId="26" xfId="0" applyBorder="1" applyAlignment="1">
      <alignment horizontal="center"/>
    </xf>
    <xf numFmtId="43" fontId="0" fillId="0" borderId="24" xfId="0" applyNumberFormat="1" applyBorder="1"/>
    <xf numFmtId="43" fontId="0" fillId="0" borderId="25" xfId="0" applyNumberFormat="1" applyBorder="1"/>
    <xf numFmtId="43" fontId="0" fillId="0" borderId="80" xfId="0" applyNumberFormat="1" applyBorder="1"/>
    <xf numFmtId="165" fontId="0" fillId="0" borderId="22" xfId="2" applyNumberFormat="1" applyFont="1" applyBorder="1"/>
    <xf numFmtId="0" fontId="0" fillId="0" borderId="56" xfId="0" applyBorder="1" applyAlignment="1">
      <alignment horizontal="right"/>
    </xf>
    <xf numFmtId="2" fontId="14" fillId="0" borderId="57" xfId="2" applyNumberFormat="1" applyFont="1" applyBorder="1" applyAlignment="1">
      <alignment horizontal="left"/>
    </xf>
    <xf numFmtId="0" fontId="0" fillId="0" borderId="58" xfId="0" applyBorder="1" applyAlignment="1">
      <alignment horizontal="left"/>
    </xf>
    <xf numFmtId="0" fontId="0" fillId="0" borderId="59" xfId="0" applyBorder="1" applyAlignment="1">
      <alignment horizontal="right"/>
    </xf>
    <xf numFmtId="0" fontId="0" fillId="0" borderId="60" xfId="0" applyBorder="1" applyAlignment="1">
      <alignment horizontal="left"/>
    </xf>
    <xf numFmtId="0" fontId="0" fillId="0" borderId="81" xfId="0" applyBorder="1" applyAlignment="1">
      <alignment horizontal="center"/>
    </xf>
    <xf numFmtId="0" fontId="0" fillId="0" borderId="82" xfId="0" applyBorder="1" applyAlignment="1">
      <alignment horizontal="center"/>
    </xf>
    <xf numFmtId="165" fontId="0" fillId="0" borderId="61" xfId="2" applyNumberFormat="1" applyFont="1" applyBorder="1"/>
    <xf numFmtId="165" fontId="0" fillId="0" borderId="65" xfId="2" applyNumberFormat="1" applyFont="1" applyBorder="1"/>
    <xf numFmtId="175" fontId="0" fillId="0" borderId="68" xfId="3" applyNumberFormat="1" applyFont="1" applyBorder="1"/>
    <xf numFmtId="175" fontId="0" fillId="0" borderId="69" xfId="3" applyNumberFormat="1" applyFont="1" applyBorder="1"/>
    <xf numFmtId="175" fontId="0" fillId="0" borderId="70" xfId="3" applyNumberFormat="1" applyFont="1" applyBorder="1"/>
    <xf numFmtId="175" fontId="0" fillId="0" borderId="71" xfId="3" applyNumberFormat="1" applyFont="1" applyBorder="1"/>
    <xf numFmtId="175" fontId="0" fillId="0" borderId="72" xfId="3" applyNumberFormat="1" applyFont="1" applyBorder="1"/>
    <xf numFmtId="0" fontId="1" fillId="0" borderId="31" xfId="0" applyFont="1" applyBorder="1" applyAlignment="1">
      <alignment horizontal="center"/>
    </xf>
    <xf numFmtId="10" fontId="1" fillId="0" borderId="0" xfId="3" applyNumberFormat="1" applyFont="1"/>
  </cellXfs>
  <cellStyles count="8">
    <cellStyle name="Comma" xfId="2" builtinId="3"/>
    <cellStyle name="Comma 2" xfId="6" xr:uid="{4DD31F14-01C0-4E3A-A5F8-BC758B25743F}"/>
    <cellStyle name="Comma 3" xfId="4" xr:uid="{9438FE90-4186-4DA2-8BCD-E4064DFC2F86}"/>
    <cellStyle name="Currency" xfId="7" builtinId="4"/>
    <cellStyle name="Normal" xfId="0" builtinId="0"/>
    <cellStyle name="Normal 2" xfId="1" xr:uid="{2A07D1EF-2046-4E26-8354-DC3B8E6E6477}"/>
    <cellStyle name="Normal 3" xfId="5" xr:uid="{7BBEADDD-5F5E-4D3E-A730-F91C844BAFA3}"/>
    <cellStyle name="Percent" xfId="3" builtinId="5"/>
  </cellStyles>
  <dxfs count="54"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rgb="FF948A54"/>
        </patternFill>
      </fill>
    </dxf>
    <dxf>
      <fill>
        <patternFill>
          <bgColor rgb="FFFABF8F"/>
        </patternFill>
      </fill>
    </dxf>
    <dxf>
      <fill>
        <patternFill>
          <bgColor rgb="FF95B3D5"/>
        </patternFill>
      </fill>
    </dxf>
  </dxfs>
  <tableStyles count="0" defaultTableStyle="TableStyleMedium9" defaultPivotStyle="PivotStyleLight16"/>
  <colors>
    <mruColors>
      <color rgb="FF002D72"/>
      <color rgb="FF95B3D5"/>
      <color rgb="FFFABF8F"/>
      <color rgb="FF948A54"/>
      <color rgb="FFFF9797"/>
      <color rgb="FFFFA7A7"/>
      <color rgb="FFFFB7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Size'!$AI$8:$AT$8</c:f>
              <c:numCache>
                <c:formatCode>0.0%</c:formatCode>
                <c:ptCount val="12"/>
                <c:pt idx="0">
                  <c:v>0.96230283251746784</c:v>
                </c:pt>
                <c:pt idx="1">
                  <c:v>0.9694086351544916</c:v>
                </c:pt>
                <c:pt idx="2">
                  <c:v>0.93212918966246583</c:v>
                </c:pt>
                <c:pt idx="3">
                  <c:v>0.90176789278585678</c:v>
                </c:pt>
                <c:pt idx="4">
                  <c:v>0.930685858715675</c:v>
                </c:pt>
                <c:pt idx="5">
                  <c:v>0.93800495757298885</c:v>
                </c:pt>
                <c:pt idx="6">
                  <c:v>0.93301971326164879</c:v>
                </c:pt>
                <c:pt idx="7">
                  <c:v>0.92510658836779014</c:v>
                </c:pt>
                <c:pt idx="8">
                  <c:v>0.96553773024361267</c:v>
                </c:pt>
                <c:pt idx="10">
                  <c:v>0.8937316356513223</c:v>
                </c:pt>
                <c:pt idx="11">
                  <c:v>0.94883458611858462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2C-4EA4-AD3E-75A741FBFC6A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Size'!$AI$9:$AT$9</c:f>
              <c:numCache>
                <c:formatCode>0.0%</c:formatCode>
                <c:ptCount val="12"/>
                <c:pt idx="0">
                  <c:v>0.9562376927695414</c:v>
                </c:pt>
                <c:pt idx="1">
                  <c:v>0.9647276438321214</c:v>
                </c:pt>
                <c:pt idx="2">
                  <c:v>0.96959447346089955</c:v>
                </c:pt>
                <c:pt idx="3">
                  <c:v>0.92710352067183466</c:v>
                </c:pt>
                <c:pt idx="4">
                  <c:v>0.95937568575817422</c:v>
                </c:pt>
                <c:pt idx="5">
                  <c:v>0.93704627233129212</c:v>
                </c:pt>
                <c:pt idx="6">
                  <c:v>0.9573894282632146</c:v>
                </c:pt>
                <c:pt idx="7">
                  <c:v>0.79120609809688003</c:v>
                </c:pt>
                <c:pt idx="9">
                  <c:v>0.94199088678583942</c:v>
                </c:pt>
                <c:pt idx="10">
                  <c:v>0.97692974280996048</c:v>
                </c:pt>
                <c:pt idx="11">
                  <c:v>0.94396962400792261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2C-4EA4-AD3E-75A741FBFC6A}"/>
            </c:ext>
          </c:extLst>
        </c:ser>
        <c:ser>
          <c:idx val="3"/>
          <c:order val="2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Size'!$AI$11:$AT$11</c:f>
              <c:numCache>
                <c:formatCode>0.0%</c:formatCode>
                <c:ptCount val="12"/>
                <c:pt idx="0">
                  <c:v>0.97102988784830613</c:v>
                </c:pt>
                <c:pt idx="1">
                  <c:v>0.95039144835892797</c:v>
                </c:pt>
                <c:pt idx="2">
                  <c:v>0.8987640391814965</c:v>
                </c:pt>
                <c:pt idx="3">
                  <c:v>0.82315800459194322</c:v>
                </c:pt>
                <c:pt idx="4">
                  <c:v>0.94772596314230551</c:v>
                </c:pt>
                <c:pt idx="5">
                  <c:v>0.95434320962685804</c:v>
                </c:pt>
                <c:pt idx="6">
                  <c:v>0.93714840953257639</c:v>
                </c:pt>
                <c:pt idx="7">
                  <c:v>0.8671522719389525</c:v>
                </c:pt>
                <c:pt idx="8">
                  <c:v>0.93425724825042233</c:v>
                </c:pt>
                <c:pt idx="9">
                  <c:v>0.97585620080833857</c:v>
                </c:pt>
                <c:pt idx="10">
                  <c:v>0.91538832828031425</c:v>
                </c:pt>
                <c:pt idx="11">
                  <c:v>0.95829249700533603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2C-4EA4-AD3E-75A741FBFC6A}"/>
            </c:ext>
          </c:extLst>
        </c:ser>
        <c:ser>
          <c:idx val="4"/>
          <c:order val="3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Size'!$AI$12:$AT$12</c:f>
              <c:numCache>
                <c:formatCode>0.0%</c:formatCode>
                <c:ptCount val="12"/>
                <c:pt idx="0">
                  <c:v>0.95885918561037964</c:v>
                </c:pt>
                <c:pt idx="2">
                  <c:v>0.91464087787860726</c:v>
                </c:pt>
                <c:pt idx="3">
                  <c:v>0.86595557510446453</c:v>
                </c:pt>
                <c:pt idx="4">
                  <c:v>0.90203468595064684</c:v>
                </c:pt>
                <c:pt idx="5">
                  <c:v>0.90308429820633451</c:v>
                </c:pt>
                <c:pt idx="6">
                  <c:v>0.94359257323188317</c:v>
                </c:pt>
                <c:pt idx="7">
                  <c:v>0.94086021505376349</c:v>
                </c:pt>
                <c:pt idx="8">
                  <c:v>0.9618469064517422</c:v>
                </c:pt>
                <c:pt idx="9">
                  <c:v>0.93598484848484842</c:v>
                </c:pt>
                <c:pt idx="10">
                  <c:v>0.96766274557279575</c:v>
                </c:pt>
                <c:pt idx="11">
                  <c:v>0.97241289141661769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2C-4EA4-AD3E-75A741FBFC6A}"/>
            </c:ext>
          </c:extLst>
        </c:ser>
        <c:ser>
          <c:idx val="5"/>
          <c:order val="4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Size'!$AI$13:$AT$13</c:f>
              <c:numCache>
                <c:formatCode>0.0%</c:formatCode>
                <c:ptCount val="12"/>
                <c:pt idx="0">
                  <c:v>0.94298369794321024</c:v>
                </c:pt>
                <c:pt idx="2">
                  <c:v>0.91963780418788899</c:v>
                </c:pt>
                <c:pt idx="3">
                  <c:v>0.89978859083662566</c:v>
                </c:pt>
                <c:pt idx="4">
                  <c:v>0.87946369308376471</c:v>
                </c:pt>
                <c:pt idx="5">
                  <c:v>0.86970271979759661</c:v>
                </c:pt>
                <c:pt idx="6">
                  <c:v>0.92748061085791955</c:v>
                </c:pt>
                <c:pt idx="8">
                  <c:v>0.93416809183955074</c:v>
                </c:pt>
                <c:pt idx="9">
                  <c:v>0.92799905727079901</c:v>
                </c:pt>
                <c:pt idx="10">
                  <c:v>0.95460979889924391</c:v>
                </c:pt>
                <c:pt idx="11">
                  <c:v>0.95071144794230678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C2C-4EA4-AD3E-75A741FBFC6A}"/>
            </c:ext>
          </c:extLst>
        </c:ser>
        <c:ser>
          <c:idx val="6"/>
          <c:order val="5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Size'!$AI$14:$AT$14</c:f>
              <c:numCache>
                <c:formatCode>0.0%</c:formatCode>
                <c:ptCount val="12"/>
                <c:pt idx="0">
                  <c:v>0.90019936930817179</c:v>
                </c:pt>
                <c:pt idx="1">
                  <c:v>0.9116877569544557</c:v>
                </c:pt>
                <c:pt idx="2">
                  <c:v>0.89559234645194763</c:v>
                </c:pt>
                <c:pt idx="3">
                  <c:v>0.79541250462449131</c:v>
                </c:pt>
                <c:pt idx="4">
                  <c:v>0.90252240789875193</c:v>
                </c:pt>
                <c:pt idx="5">
                  <c:v>0.91386110719819702</c:v>
                </c:pt>
                <c:pt idx="6">
                  <c:v>0.94246031746031744</c:v>
                </c:pt>
                <c:pt idx="7">
                  <c:v>0.96014343039218386</c:v>
                </c:pt>
                <c:pt idx="8">
                  <c:v>0.96070811744386875</c:v>
                </c:pt>
                <c:pt idx="9">
                  <c:v>0.89117859725234994</c:v>
                </c:pt>
                <c:pt idx="10">
                  <c:v>0.95460964188185937</c:v>
                </c:pt>
                <c:pt idx="11">
                  <c:v>0.94776079299243254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C2C-4EA4-AD3E-75A741FBFC6A}"/>
            </c:ext>
          </c:extLst>
        </c:ser>
        <c:ser>
          <c:idx val="7"/>
          <c:order val="6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Size'!$AI$15:$AT$15</c:f>
              <c:numCache>
                <c:formatCode>0.0%</c:formatCode>
                <c:ptCount val="12"/>
                <c:pt idx="0">
                  <c:v>0.96767206746455947</c:v>
                </c:pt>
                <c:pt idx="1">
                  <c:v>0.98125045597140148</c:v>
                </c:pt>
                <c:pt idx="2">
                  <c:v>0.97077560926281725</c:v>
                </c:pt>
                <c:pt idx="3">
                  <c:v>0.95381526104417669</c:v>
                </c:pt>
                <c:pt idx="4">
                  <c:v>0.9485315740350071</c:v>
                </c:pt>
                <c:pt idx="5">
                  <c:v>0.96738394647087922</c:v>
                </c:pt>
                <c:pt idx="6">
                  <c:v>0.94551927986027129</c:v>
                </c:pt>
                <c:pt idx="7">
                  <c:v>0.9593318215557689</c:v>
                </c:pt>
                <c:pt idx="8">
                  <c:v>0.88302009073233956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2C-4EA4-AD3E-75A741FBFC6A}"/>
            </c:ext>
          </c:extLst>
        </c:ser>
        <c:ser>
          <c:idx val="8"/>
          <c:order val="7"/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Size'!$AI$16:$AT$16</c:f>
              <c:numCache>
                <c:formatCode>0.0%</c:formatCode>
                <c:ptCount val="12"/>
                <c:pt idx="0">
                  <c:v>0.97346972721224212</c:v>
                </c:pt>
                <c:pt idx="1">
                  <c:v>0.97143613676232088</c:v>
                </c:pt>
                <c:pt idx="2">
                  <c:v>0.95666374183484448</c:v>
                </c:pt>
                <c:pt idx="3">
                  <c:v>0.96088435374149661</c:v>
                </c:pt>
                <c:pt idx="4">
                  <c:v>0.96546485967711371</c:v>
                </c:pt>
                <c:pt idx="5">
                  <c:v>0.97107911911804567</c:v>
                </c:pt>
                <c:pt idx="6">
                  <c:v>0.96552742435886496</c:v>
                </c:pt>
                <c:pt idx="7">
                  <c:v>0.97424166930893386</c:v>
                </c:pt>
                <c:pt idx="8">
                  <c:v>0.95545337684168896</c:v>
                </c:pt>
                <c:pt idx="10">
                  <c:v>0.968607019305881</c:v>
                </c:pt>
                <c:pt idx="11">
                  <c:v>0.85952123670676051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C2C-4EA4-AD3E-75A741FBFC6A}"/>
            </c:ext>
          </c:extLst>
        </c:ser>
        <c:ser>
          <c:idx val="9"/>
          <c:order val="8"/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Size'!$AI$17:$AT$17</c:f>
              <c:numCache>
                <c:formatCode>0.0%</c:formatCode>
                <c:ptCount val="12"/>
                <c:pt idx="0">
                  <c:v>0.90618368484072498</c:v>
                </c:pt>
                <c:pt idx="1">
                  <c:v>0.95481317872262117</c:v>
                </c:pt>
                <c:pt idx="2">
                  <c:v>0.87326415599660367</c:v>
                </c:pt>
                <c:pt idx="3">
                  <c:v>0.92893217893217883</c:v>
                </c:pt>
                <c:pt idx="4">
                  <c:v>0.72784634378697965</c:v>
                </c:pt>
                <c:pt idx="5">
                  <c:v>0.83058560986923757</c:v>
                </c:pt>
                <c:pt idx="7">
                  <c:v>0.82307913905922048</c:v>
                </c:pt>
                <c:pt idx="10">
                  <c:v>0.95996732026143794</c:v>
                </c:pt>
                <c:pt idx="11">
                  <c:v>0.84341295278795281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C2C-4EA4-AD3E-75A741FBFC6A}"/>
            </c:ext>
          </c:extLst>
        </c:ser>
        <c:ser>
          <c:idx val="11"/>
          <c:order val="9"/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Size'!$AI$19:$AT$19</c:f>
              <c:numCache>
                <c:formatCode>0.0%</c:formatCode>
                <c:ptCount val="12"/>
                <c:pt idx="0">
                  <c:v>0.96321564990837027</c:v>
                </c:pt>
                <c:pt idx="1">
                  <c:v>0.95710332103321027</c:v>
                </c:pt>
                <c:pt idx="2">
                  <c:v>0.8908755213714461</c:v>
                </c:pt>
                <c:pt idx="3">
                  <c:v>0.87258200168208577</c:v>
                </c:pt>
                <c:pt idx="4">
                  <c:v>0.89445266044304772</c:v>
                </c:pt>
                <c:pt idx="5">
                  <c:v>0.91933570581257418</c:v>
                </c:pt>
                <c:pt idx="6">
                  <c:v>0.97209003424685392</c:v>
                </c:pt>
                <c:pt idx="7">
                  <c:v>0.93716980545714468</c:v>
                </c:pt>
                <c:pt idx="11">
                  <c:v>0.88072078812819554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C2C-4EA4-AD3E-75A741FBFC6A}"/>
            </c:ext>
          </c:extLst>
        </c:ser>
        <c:ser>
          <c:idx val="12"/>
          <c:order val="10"/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Size'!$AI$20:$AT$20</c:f>
              <c:numCache>
                <c:formatCode>0.0%</c:formatCode>
                <c:ptCount val="12"/>
                <c:pt idx="0">
                  <c:v>0.89577414370448927</c:v>
                </c:pt>
                <c:pt idx="1">
                  <c:v>0.78445763396940882</c:v>
                </c:pt>
                <c:pt idx="2">
                  <c:v>0.94415082113277848</c:v>
                </c:pt>
                <c:pt idx="3">
                  <c:v>0.94222433661063543</c:v>
                </c:pt>
                <c:pt idx="4">
                  <c:v>0.85594503318970527</c:v>
                </c:pt>
                <c:pt idx="5">
                  <c:v>0.93404187451988496</c:v>
                </c:pt>
                <c:pt idx="6">
                  <c:v>0.95219492042964393</c:v>
                </c:pt>
                <c:pt idx="7">
                  <c:v>0.91010078603130706</c:v>
                </c:pt>
                <c:pt idx="8">
                  <c:v>0.91467590146935096</c:v>
                </c:pt>
                <c:pt idx="9">
                  <c:v>0.91039600086087147</c:v>
                </c:pt>
                <c:pt idx="10">
                  <c:v>0.88411230367156379</c:v>
                </c:pt>
                <c:pt idx="11">
                  <c:v>0.98481198522495239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2C-4EA4-AD3E-75A741FBFC6A}"/>
            </c:ext>
          </c:extLst>
        </c:ser>
        <c:ser>
          <c:idx val="13"/>
          <c:order val="11"/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Size'!$AI$21:$AT$21</c:f>
              <c:numCache>
                <c:formatCode>0.0%</c:formatCode>
                <c:ptCount val="12"/>
                <c:pt idx="0">
                  <c:v>0.90618368484072498</c:v>
                </c:pt>
                <c:pt idx="1">
                  <c:v>0.95481317872262117</c:v>
                </c:pt>
                <c:pt idx="2">
                  <c:v>0.87326415599660367</c:v>
                </c:pt>
                <c:pt idx="3">
                  <c:v>0.92893217893217883</c:v>
                </c:pt>
                <c:pt idx="4">
                  <c:v>0.72784634378697965</c:v>
                </c:pt>
                <c:pt idx="5">
                  <c:v>0.83058560986923757</c:v>
                </c:pt>
                <c:pt idx="7">
                  <c:v>0.82307913905922048</c:v>
                </c:pt>
                <c:pt idx="10">
                  <c:v>0.95996732026143794</c:v>
                </c:pt>
                <c:pt idx="11">
                  <c:v>0.84341295278795281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C2C-4EA4-AD3E-75A741FBFC6A}"/>
            </c:ext>
          </c:extLst>
        </c:ser>
        <c:ser>
          <c:idx val="15"/>
          <c:order val="12"/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Size'!$AI$23:$AT$23</c:f>
              <c:numCache>
                <c:formatCode>0.0%</c:formatCode>
                <c:ptCount val="12"/>
                <c:pt idx="0">
                  <c:v>0.94707375140622141</c:v>
                </c:pt>
                <c:pt idx="1">
                  <c:v>0.93971356186339894</c:v>
                </c:pt>
                <c:pt idx="2">
                  <c:v>0.93614072108695756</c:v>
                </c:pt>
                <c:pt idx="3">
                  <c:v>0.90101401444492268</c:v>
                </c:pt>
                <c:pt idx="4">
                  <c:v>0.91585269645339995</c:v>
                </c:pt>
                <c:pt idx="5">
                  <c:v>0.94556425185730175</c:v>
                </c:pt>
                <c:pt idx="6">
                  <c:v>0.93523436182768516</c:v>
                </c:pt>
                <c:pt idx="7">
                  <c:v>0.92472690907226018</c:v>
                </c:pt>
                <c:pt idx="8">
                  <c:v>0.91674867613290234</c:v>
                </c:pt>
                <c:pt idx="10">
                  <c:v>0.92349248065411016</c:v>
                </c:pt>
                <c:pt idx="11">
                  <c:v>0.94544039880395003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2C-4EA4-AD3E-75A741FBFC6A}"/>
            </c:ext>
          </c:extLst>
        </c:ser>
        <c:ser>
          <c:idx val="16"/>
          <c:order val="13"/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Size'!$AI$24:$AT$24</c:f>
              <c:numCache>
                <c:formatCode>0.0%</c:formatCode>
                <c:ptCount val="12"/>
                <c:pt idx="0">
                  <c:v>0.95307917888563043</c:v>
                </c:pt>
                <c:pt idx="1">
                  <c:v>0.96384099616858243</c:v>
                </c:pt>
                <c:pt idx="2">
                  <c:v>0.95449587034439776</c:v>
                </c:pt>
                <c:pt idx="3">
                  <c:v>0.82588870277312487</c:v>
                </c:pt>
                <c:pt idx="7">
                  <c:v>0.9465744439806808</c:v>
                </c:pt>
                <c:pt idx="8">
                  <c:v>0.91319918906125808</c:v>
                </c:pt>
                <c:pt idx="9">
                  <c:v>0.8797351501932047</c:v>
                </c:pt>
                <c:pt idx="10">
                  <c:v>0.93860596949481678</c:v>
                </c:pt>
                <c:pt idx="11">
                  <c:v>0.94262531321947218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C2C-4EA4-AD3E-75A741FBFC6A}"/>
            </c:ext>
          </c:extLst>
        </c:ser>
        <c:ser>
          <c:idx val="17"/>
          <c:order val="14"/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Size'!$AI$25:$AT$25</c:f>
              <c:numCache>
                <c:formatCode>0.0%</c:formatCode>
                <c:ptCount val="12"/>
                <c:pt idx="0">
                  <c:v>0.95132968293851938</c:v>
                </c:pt>
                <c:pt idx="1">
                  <c:v>0.92923558545930285</c:v>
                </c:pt>
                <c:pt idx="2">
                  <c:v>0.92791130050076676</c:v>
                </c:pt>
                <c:pt idx="3">
                  <c:v>0.92202071324804358</c:v>
                </c:pt>
                <c:pt idx="4">
                  <c:v>0.85697127502421877</c:v>
                </c:pt>
                <c:pt idx="5">
                  <c:v>0.86049702985186849</c:v>
                </c:pt>
                <c:pt idx="6">
                  <c:v>0.89004802119556226</c:v>
                </c:pt>
                <c:pt idx="7">
                  <c:v>0.95751917015664378</c:v>
                </c:pt>
                <c:pt idx="8">
                  <c:v>0.96256574621959246</c:v>
                </c:pt>
                <c:pt idx="9">
                  <c:v>0.92014459415050942</c:v>
                </c:pt>
                <c:pt idx="10">
                  <c:v>0.89747724754946634</c:v>
                </c:pt>
                <c:pt idx="11">
                  <c:v>0.94678928742559909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C2C-4EA4-AD3E-75A741FBFC6A}"/>
            </c:ext>
          </c:extLst>
        </c:ser>
        <c:ser>
          <c:idx val="18"/>
          <c:order val="15"/>
          <c:spPr>
            <a:ln w="28575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Size'!$AI$26:$AT$26</c:f>
              <c:numCache>
                <c:formatCode>0.0%</c:formatCode>
                <c:ptCount val="12"/>
                <c:pt idx="0">
                  <c:v>0.95896839485013574</c:v>
                </c:pt>
                <c:pt idx="1">
                  <c:v>0.96560846560846558</c:v>
                </c:pt>
                <c:pt idx="2">
                  <c:v>0.96186946925055172</c:v>
                </c:pt>
                <c:pt idx="3">
                  <c:v>0.970948012232416</c:v>
                </c:pt>
                <c:pt idx="4">
                  <c:v>0.9631418549824623</c:v>
                </c:pt>
                <c:pt idx="5">
                  <c:v>0.96364133406232921</c:v>
                </c:pt>
                <c:pt idx="6">
                  <c:v>0.97222222222222221</c:v>
                </c:pt>
                <c:pt idx="7">
                  <c:v>0.98325755935628201</c:v>
                </c:pt>
                <c:pt idx="8">
                  <c:v>0.96519847743338771</c:v>
                </c:pt>
                <c:pt idx="9">
                  <c:v>0.94320103496286201</c:v>
                </c:pt>
                <c:pt idx="10">
                  <c:v>0.95842675240069375</c:v>
                </c:pt>
                <c:pt idx="11">
                  <c:v>0.91377776924651921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AC2C-4EA4-AD3E-75A741FBFC6A}"/>
            </c:ext>
          </c:extLst>
        </c:ser>
        <c:ser>
          <c:idx val="19"/>
          <c:order val="16"/>
          <c:spPr>
            <a:ln w="28575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Size'!$AI$27:$AT$27</c:f>
              <c:numCache>
                <c:formatCode>0.0%</c:formatCode>
                <c:ptCount val="12"/>
                <c:pt idx="0">
                  <c:v>0.97298106429159492</c:v>
                </c:pt>
                <c:pt idx="1">
                  <c:v>0.96713575223239523</c:v>
                </c:pt>
                <c:pt idx="2">
                  <c:v>0.95161821581877692</c:v>
                </c:pt>
                <c:pt idx="3">
                  <c:v>0.95291182247703976</c:v>
                </c:pt>
                <c:pt idx="4">
                  <c:v>0.96489480954897955</c:v>
                </c:pt>
                <c:pt idx="5">
                  <c:v>0.97268540574876938</c:v>
                </c:pt>
                <c:pt idx="6">
                  <c:v>0.95725176743695262</c:v>
                </c:pt>
                <c:pt idx="7">
                  <c:v>0.95670614997645032</c:v>
                </c:pt>
                <c:pt idx="8">
                  <c:v>0.93909699172857075</c:v>
                </c:pt>
                <c:pt idx="9">
                  <c:v>0.96802986043492378</c:v>
                </c:pt>
                <c:pt idx="10">
                  <c:v>0.96552257266542985</c:v>
                </c:pt>
                <c:pt idx="11">
                  <c:v>0.94682072741001766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AC2C-4EA4-AD3E-75A741FBFC6A}"/>
            </c:ext>
          </c:extLst>
        </c:ser>
        <c:ser>
          <c:idx val="20"/>
          <c:order val="17"/>
          <c:spPr>
            <a:ln w="28575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Size'!$AI$28:$AT$28</c:f>
              <c:numCache>
                <c:formatCode>0.0%</c:formatCode>
                <c:ptCount val="12"/>
                <c:pt idx="0">
                  <c:v>0.95715216682958615</c:v>
                </c:pt>
                <c:pt idx="1">
                  <c:v>0.95378943758573398</c:v>
                </c:pt>
                <c:pt idx="2">
                  <c:v>0.92509624319660155</c:v>
                </c:pt>
                <c:pt idx="3">
                  <c:v>0.73660147320294644</c:v>
                </c:pt>
                <c:pt idx="4">
                  <c:v>0.91386174448063684</c:v>
                </c:pt>
                <c:pt idx="5">
                  <c:v>0.96531781898775815</c:v>
                </c:pt>
                <c:pt idx="6">
                  <c:v>0.9512325830653805</c:v>
                </c:pt>
                <c:pt idx="7">
                  <c:v>0.93539645073870092</c:v>
                </c:pt>
                <c:pt idx="8">
                  <c:v>0.92592592592592593</c:v>
                </c:pt>
                <c:pt idx="9">
                  <c:v>0.95594039865798297</c:v>
                </c:pt>
                <c:pt idx="10">
                  <c:v>0.91286514605842339</c:v>
                </c:pt>
                <c:pt idx="11">
                  <c:v>0.94753640534610006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AC2C-4EA4-AD3E-75A741FBFC6A}"/>
            </c:ext>
          </c:extLst>
        </c:ser>
        <c:ser>
          <c:idx val="21"/>
          <c:order val="18"/>
          <c:spPr>
            <a:ln w="28575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Size'!$AI$29:$AT$29</c:f>
              <c:numCache>
                <c:formatCode>0.0%</c:formatCode>
                <c:ptCount val="12"/>
                <c:pt idx="0">
                  <c:v>0.95518212501436062</c:v>
                </c:pt>
                <c:pt idx="1">
                  <c:v>0.91757101844162225</c:v>
                </c:pt>
                <c:pt idx="2">
                  <c:v>0.93516465467684973</c:v>
                </c:pt>
                <c:pt idx="3">
                  <c:v>0.90066402705600934</c:v>
                </c:pt>
                <c:pt idx="4">
                  <c:v>0.91062115400535348</c:v>
                </c:pt>
                <c:pt idx="5">
                  <c:v>0.96842425201050775</c:v>
                </c:pt>
                <c:pt idx="6">
                  <c:v>0.93080778493783767</c:v>
                </c:pt>
                <c:pt idx="7">
                  <c:v>0.95699585012925015</c:v>
                </c:pt>
                <c:pt idx="8">
                  <c:v>0.92938409931873978</c:v>
                </c:pt>
                <c:pt idx="9">
                  <c:v>0.97102569766585667</c:v>
                </c:pt>
                <c:pt idx="10">
                  <c:v>0.96817621103572615</c:v>
                </c:pt>
                <c:pt idx="11">
                  <c:v>0.96668898560428529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AC2C-4EA4-AD3E-75A741FBFC6A}"/>
            </c:ext>
          </c:extLst>
        </c:ser>
        <c:ser>
          <c:idx val="22"/>
          <c:order val="19"/>
          <c:spPr>
            <a:ln w="28575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Size'!$AI$30:$AT$30</c:f>
              <c:numCache>
                <c:formatCode>0.0%</c:formatCode>
                <c:ptCount val="12"/>
                <c:pt idx="0">
                  <c:v>0.96678560968758032</c:v>
                </c:pt>
                <c:pt idx="1">
                  <c:v>0.94000250250250228</c:v>
                </c:pt>
                <c:pt idx="2">
                  <c:v>0.93023325430466741</c:v>
                </c:pt>
                <c:pt idx="3">
                  <c:v>0.9437126478838882</c:v>
                </c:pt>
                <c:pt idx="4">
                  <c:v>0.87386836171635107</c:v>
                </c:pt>
                <c:pt idx="5">
                  <c:v>0.93157327896516162</c:v>
                </c:pt>
                <c:pt idx="6">
                  <c:v>0.89488388335952496</c:v>
                </c:pt>
                <c:pt idx="7">
                  <c:v>0.94071917769578806</c:v>
                </c:pt>
                <c:pt idx="8">
                  <c:v>0.94778589719567796</c:v>
                </c:pt>
                <c:pt idx="9">
                  <c:v>0.94622447067640991</c:v>
                </c:pt>
                <c:pt idx="10">
                  <c:v>0.91613880385323809</c:v>
                </c:pt>
                <c:pt idx="11">
                  <c:v>0.94135987528480647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AC2C-4EA4-AD3E-75A741FBFC6A}"/>
            </c:ext>
          </c:extLst>
        </c:ser>
        <c:ser>
          <c:idx val="23"/>
          <c:order val="20"/>
          <c:spPr>
            <a:ln w="28575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Size'!$AI$31:$AT$31</c:f>
              <c:numCache>
                <c:formatCode>0.0%</c:formatCode>
                <c:ptCount val="12"/>
                <c:pt idx="0">
                  <c:v>0.96614525332837031</c:v>
                </c:pt>
                <c:pt idx="1">
                  <c:v>0.97348766579893387</c:v>
                </c:pt>
                <c:pt idx="2">
                  <c:v>0.92870203088723535</c:v>
                </c:pt>
                <c:pt idx="3">
                  <c:v>0.82880395079045033</c:v>
                </c:pt>
                <c:pt idx="4">
                  <c:v>0.9006187255712873</c:v>
                </c:pt>
                <c:pt idx="5">
                  <c:v>0.85909263349204057</c:v>
                </c:pt>
                <c:pt idx="8">
                  <c:v>0.95659418734218626</c:v>
                </c:pt>
                <c:pt idx="9">
                  <c:v>0.96688140621195029</c:v>
                </c:pt>
                <c:pt idx="10">
                  <c:v>0.93530318284583869</c:v>
                </c:pt>
                <c:pt idx="11">
                  <c:v>0.76605752282709205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AC2C-4EA4-AD3E-75A741FBFC6A}"/>
            </c:ext>
          </c:extLst>
        </c:ser>
        <c:ser>
          <c:idx val="24"/>
          <c:order val="21"/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Size'!$AI$32:$AT$32</c:f>
              <c:numCache>
                <c:formatCode>0.0%</c:formatCode>
                <c:ptCount val="12"/>
                <c:pt idx="0">
                  <c:v>0.97870341371750702</c:v>
                </c:pt>
                <c:pt idx="1">
                  <c:v>0.97556764223430881</c:v>
                </c:pt>
                <c:pt idx="2">
                  <c:v>0.96266532730621135</c:v>
                </c:pt>
                <c:pt idx="3">
                  <c:v>0.94814189641775848</c:v>
                </c:pt>
                <c:pt idx="4">
                  <c:v>0.94313832695462008</c:v>
                </c:pt>
                <c:pt idx="5">
                  <c:v>0.92133230307800806</c:v>
                </c:pt>
                <c:pt idx="6">
                  <c:v>0.95727237654320996</c:v>
                </c:pt>
                <c:pt idx="7">
                  <c:v>0.95497852650371406</c:v>
                </c:pt>
                <c:pt idx="8">
                  <c:v>0.93175669372142911</c:v>
                </c:pt>
                <c:pt idx="9">
                  <c:v>0.9728113585483682</c:v>
                </c:pt>
                <c:pt idx="10">
                  <c:v>0.90466540711847876</c:v>
                </c:pt>
                <c:pt idx="11">
                  <c:v>0.93389786470143621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AC2C-4EA4-AD3E-75A741FBFC6A}"/>
            </c:ext>
          </c:extLst>
        </c:ser>
        <c:ser>
          <c:idx val="25"/>
          <c:order val="22"/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'Customer Size'!$AI$7:$AT$7</c:f>
              <c:strCache>
                <c:ptCount val="12"/>
                <c:pt idx="0">
                  <c:v>Dec</c:v>
                </c:pt>
                <c:pt idx="1">
                  <c:v>Nov</c:v>
                </c:pt>
                <c:pt idx="2">
                  <c:v>Oct</c:v>
                </c:pt>
                <c:pt idx="3">
                  <c:v>Sep</c:v>
                </c:pt>
                <c:pt idx="4">
                  <c:v>Aug</c:v>
                </c:pt>
                <c:pt idx="5">
                  <c:v>Jul</c:v>
                </c:pt>
                <c:pt idx="6">
                  <c:v>Jun</c:v>
                </c:pt>
                <c:pt idx="7">
                  <c:v>May</c:v>
                </c:pt>
                <c:pt idx="8">
                  <c:v>Apr</c:v>
                </c:pt>
                <c:pt idx="9">
                  <c:v>Mar</c:v>
                </c:pt>
                <c:pt idx="10">
                  <c:v>Feb</c:v>
                </c:pt>
                <c:pt idx="11">
                  <c:v>Jan</c:v>
                </c:pt>
              </c:strCache>
            </c:strRef>
          </c:cat>
          <c:val>
            <c:numRef>
              <c:f>'Customer Size'!$AI$33:$AT$33</c:f>
              <c:numCache>
                <c:formatCode>0.0%</c:formatCode>
                <c:ptCount val="12"/>
                <c:pt idx="0">
                  <c:v>0.95052328476898618</c:v>
                </c:pt>
                <c:pt idx="1">
                  <c:v>0.94630210086884126</c:v>
                </c:pt>
                <c:pt idx="2">
                  <c:v>0.92969317380870076</c:v>
                </c:pt>
                <c:pt idx="3">
                  <c:v>0.89687562091293493</c:v>
                </c:pt>
                <c:pt idx="4">
                  <c:v>0.89927924086692679</c:v>
                </c:pt>
                <c:pt idx="5">
                  <c:v>0.92177060659270804</c:v>
                </c:pt>
                <c:pt idx="6">
                  <c:v>0.94252087289397601</c:v>
                </c:pt>
                <c:pt idx="7">
                  <c:v>0.9234172600965469</c:v>
                </c:pt>
                <c:pt idx="8">
                  <c:v>0.93877351929734709</c:v>
                </c:pt>
                <c:pt idx="9">
                  <c:v>0.94049330419767441</c:v>
                </c:pt>
                <c:pt idx="10">
                  <c:v>0.93781298151360182</c:v>
                </c:pt>
                <c:pt idx="11">
                  <c:v>0.92308837642801389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AC2C-4EA4-AD3E-75A741FBFC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6438544"/>
        <c:axId val="1530235696"/>
      </c:lineChart>
      <c:catAx>
        <c:axId val="38643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0235696"/>
        <c:crosses val="autoZero"/>
        <c:auto val="1"/>
        <c:lblAlgn val="ctr"/>
        <c:lblOffset val="100"/>
        <c:noMultiLvlLbl val="0"/>
      </c:catAx>
      <c:valAx>
        <c:axId val="1530235696"/>
        <c:scaling>
          <c:orientation val="minMax"/>
          <c:min val="0.7000000000000000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643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455839</xdr:colOff>
      <xdr:row>34</xdr:row>
      <xdr:rowOff>29935</xdr:rowOff>
    </xdr:from>
    <xdr:to>
      <xdr:col>46</xdr:col>
      <xdr:colOff>0</xdr:colOff>
      <xdr:row>52</xdr:row>
      <xdr:rowOff>13607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07077CC-ACE9-494D-AD8D-E586A7BC22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Large%20Customer%20Care/Files%20to%20post/Working%20Files/2019%20RS17%20Update%20Load-Duration%20Curve%20Assessment%20Final%20Draft%20v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  <sheetName val="EI Loads &amp; System Loads (2)"/>
      <sheetName val="EI Loads"/>
      <sheetName val="2020 - 30 Hourly EI Load"/>
      <sheetName val="2017-19 Composite EI Load"/>
      <sheetName val="2017- 30 Hourly System Load"/>
      <sheetName val="Hourly System Load"/>
      <sheetName val="2018 Hourly Comparison"/>
      <sheetName val="Sheet4"/>
      <sheetName val="EI Hourly Load Calculations"/>
      <sheetName val="Monthly EI Hourly Parameters"/>
      <sheetName val="kWh Summary All RSs"/>
    </sheetNames>
    <sheetDataSet>
      <sheetData sheetId="0" refreshError="1"/>
      <sheetData sheetId="1" refreshError="1"/>
      <sheetData sheetId="2">
        <row r="5">
          <cell r="E5">
            <v>8.9051723579527398E-3</v>
          </cell>
        </row>
        <row r="6">
          <cell r="E6">
            <v>7.0639791899191895E-3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D9">
            <v>2017</v>
          </cell>
          <cell r="E9">
            <v>2017</v>
          </cell>
          <cell r="F9">
            <v>1</v>
          </cell>
          <cell r="G9">
            <v>22321.521380772079</v>
          </cell>
          <cell r="H9">
            <v>127624.09613375131</v>
          </cell>
          <cell r="I9">
            <v>6863566.6551724132</v>
          </cell>
          <cell r="J9">
            <v>0</v>
          </cell>
          <cell r="K9">
            <v>0</v>
          </cell>
          <cell r="L9">
            <v>0</v>
          </cell>
          <cell r="M9">
            <v>7013513.2726869369</v>
          </cell>
          <cell r="N9">
            <v>744</v>
          </cell>
          <cell r="O9">
            <v>9426.765151460937</v>
          </cell>
          <cell r="P9">
            <v>9426.765151460937</v>
          </cell>
          <cell r="Q9">
            <v>9774.8402015837491</v>
          </cell>
          <cell r="R9">
            <v>-696.15010024562253</v>
          </cell>
          <cell r="S9">
            <v>-0.93568561860970767</v>
          </cell>
          <cell r="T9">
            <v>9078.6901013381266</v>
          </cell>
          <cell r="U9">
            <v>9426.7651514609388</v>
          </cell>
        </row>
        <row r="10">
          <cell r="D10">
            <v>4034</v>
          </cell>
          <cell r="E10">
            <v>2017</v>
          </cell>
          <cell r="F10">
            <v>2</v>
          </cell>
          <cell r="G10">
            <v>23820.314939157986</v>
          </cell>
          <cell r="H10">
            <v>96968.229362591432</v>
          </cell>
          <cell r="I10">
            <v>5746182.7701149425</v>
          </cell>
          <cell r="J10">
            <v>0</v>
          </cell>
          <cell r="K10">
            <v>0</v>
          </cell>
          <cell r="L10">
            <v>0</v>
          </cell>
          <cell r="M10">
            <v>5866973.3144166917</v>
          </cell>
          <cell r="N10">
            <v>672</v>
          </cell>
          <cell r="O10">
            <v>8730.6150512153145</v>
          </cell>
          <cell r="P10">
            <v>8730.6150512153145</v>
          </cell>
          <cell r="Q10">
            <v>9078.6901013381248</v>
          </cell>
          <cell r="R10">
            <v>-394.9558479981024</v>
          </cell>
          <cell r="S10">
            <v>-0.58773191666384283</v>
          </cell>
          <cell r="T10">
            <v>8683.7342533400224</v>
          </cell>
          <cell r="U10">
            <v>8881.2121773390736</v>
          </cell>
        </row>
        <row r="11">
          <cell r="D11">
            <v>6051</v>
          </cell>
          <cell r="E11">
            <v>2017</v>
          </cell>
          <cell r="F11">
            <v>3</v>
          </cell>
          <cell r="G11">
            <v>26558.498520241345</v>
          </cell>
          <cell r="H11">
            <v>82023.484848484833</v>
          </cell>
          <cell r="I11">
            <v>6317233.9874970345</v>
          </cell>
          <cell r="J11">
            <v>0</v>
          </cell>
          <cell r="K11">
            <v>0</v>
          </cell>
          <cell r="L11">
            <v>0</v>
          </cell>
          <cell r="M11">
            <v>6425818.9708657609</v>
          </cell>
          <cell r="N11">
            <v>744</v>
          </cell>
          <cell r="O11">
            <v>8636.8534554647322</v>
          </cell>
          <cell r="P11">
            <v>8636.8534554647322</v>
          </cell>
          <cell r="Q11">
            <v>8683.7342533400224</v>
          </cell>
          <cell r="R11">
            <v>-199.89510645880728</v>
          </cell>
          <cell r="S11">
            <v>-0.26867621835861194</v>
          </cell>
          <cell r="T11">
            <v>8483.8391468812151</v>
          </cell>
          <cell r="U11">
            <v>8583.7867001106188</v>
          </cell>
        </row>
        <row r="12">
          <cell r="D12">
            <v>8068</v>
          </cell>
          <cell r="E12">
            <v>2017</v>
          </cell>
          <cell r="F12">
            <v>4</v>
          </cell>
          <cell r="G12">
            <v>22676.939933259175</v>
          </cell>
          <cell r="H12">
            <v>62284.563959955507</v>
          </cell>
          <cell r="I12">
            <v>5913228.3796811271</v>
          </cell>
          <cell r="J12">
            <v>0</v>
          </cell>
          <cell r="K12">
            <v>0</v>
          </cell>
          <cell r="L12">
            <v>0</v>
          </cell>
          <cell r="M12">
            <v>5998193.8835743414</v>
          </cell>
          <cell r="N12">
            <v>720</v>
          </cell>
          <cell r="O12">
            <v>8330.8248382976963</v>
          </cell>
          <cell r="P12">
            <v>8330.8248382976963</v>
          </cell>
          <cell r="Q12">
            <v>8483.8391468812151</v>
          </cell>
          <cell r="R12">
            <v>-28.454783776007389</v>
          </cell>
          <cell r="S12">
            <v>-3.9520533022232483E-2</v>
          </cell>
          <cell r="T12">
            <v>8455.3843631052077</v>
          </cell>
          <cell r="U12">
            <v>8469.6117549932114</v>
          </cell>
        </row>
        <row r="13">
          <cell r="D13">
            <v>10085</v>
          </cell>
          <cell r="E13">
            <v>2017</v>
          </cell>
          <cell r="F13">
            <v>5</v>
          </cell>
          <cell r="G13">
            <v>23552.947341954023</v>
          </cell>
          <cell r="H13">
            <v>58926.537189469782</v>
          </cell>
          <cell r="I13">
            <v>6300993.7680756385</v>
          </cell>
          <cell r="J13">
            <v>0</v>
          </cell>
          <cell r="K13">
            <v>0</v>
          </cell>
          <cell r="L13">
            <v>0</v>
          </cell>
          <cell r="M13">
            <v>6383478.2526070625</v>
          </cell>
          <cell r="N13">
            <v>744</v>
          </cell>
          <cell r="O13">
            <v>8579.9438879127192</v>
          </cell>
          <cell r="P13">
            <v>8579.9438879127192</v>
          </cell>
          <cell r="Q13">
            <v>8455.3843631052077</v>
          </cell>
          <cell r="R13">
            <v>463.63667940610321</v>
          </cell>
          <cell r="S13">
            <v>0.62316757984691296</v>
          </cell>
          <cell r="T13">
            <v>8919.021042511311</v>
          </cell>
          <cell r="U13">
            <v>8687.2027028082593</v>
          </cell>
        </row>
        <row r="14">
          <cell r="D14">
            <v>12102</v>
          </cell>
          <cell r="E14">
            <v>2017</v>
          </cell>
          <cell r="F14">
            <v>6</v>
          </cell>
          <cell r="G14">
            <v>23074.849404761902</v>
          </cell>
          <cell r="H14">
            <v>53050.964583333342</v>
          </cell>
          <cell r="I14">
            <v>6589698.8879310349</v>
          </cell>
          <cell r="J14">
            <v>0</v>
          </cell>
          <cell r="K14">
            <v>0</v>
          </cell>
          <cell r="L14">
            <v>0</v>
          </cell>
          <cell r="M14">
            <v>6665830.70191913</v>
          </cell>
          <cell r="N14">
            <v>720</v>
          </cell>
          <cell r="O14">
            <v>9258.0981971099027</v>
          </cell>
          <cell r="P14">
            <v>9258.0981971099027</v>
          </cell>
          <cell r="Q14">
            <v>8919.021042511311</v>
          </cell>
          <cell r="R14">
            <v>616.74872754162243</v>
          </cell>
          <cell r="S14">
            <v>0.85659545491892009</v>
          </cell>
          <cell r="T14">
            <v>9535.7697700529334</v>
          </cell>
          <cell r="U14">
            <v>9227.3954062821213</v>
          </cell>
        </row>
        <row r="15">
          <cell r="D15">
            <v>14119</v>
          </cell>
          <cell r="E15">
            <v>2017</v>
          </cell>
          <cell r="F15">
            <v>7</v>
          </cell>
          <cell r="G15">
            <v>23413.167969586633</v>
          </cell>
          <cell r="H15">
            <v>52606.369194938816</v>
          </cell>
          <cell r="I15">
            <v>7225173.8220244721</v>
          </cell>
          <cell r="J15">
            <v>0</v>
          </cell>
          <cell r="K15">
            <v>0</v>
          </cell>
          <cell r="L15">
            <v>0</v>
          </cell>
          <cell r="M15">
            <v>7301200.3591889972</v>
          </cell>
          <cell r="N15">
            <v>744</v>
          </cell>
          <cell r="O15">
            <v>9813.4413429959641</v>
          </cell>
          <cell r="P15">
            <v>9813.4413429959641</v>
          </cell>
          <cell r="Q15">
            <v>9535.7697700529334</v>
          </cell>
          <cell r="R15">
            <v>451.18122972851233</v>
          </cell>
          <cell r="S15">
            <v>0.60642638404369942</v>
          </cell>
          <cell r="T15">
            <v>9986.9509997814457</v>
          </cell>
          <cell r="U15">
            <v>9761.3603849171886</v>
          </cell>
        </row>
        <row r="16">
          <cell r="D16">
            <v>16136</v>
          </cell>
          <cell r="E16">
            <v>2017</v>
          </cell>
          <cell r="F16">
            <v>8</v>
          </cell>
          <cell r="G16">
            <v>24678.269189269002</v>
          </cell>
          <cell r="H16">
            <v>51200.032888394519</v>
          </cell>
          <cell r="I16">
            <v>7483496.4264081307</v>
          </cell>
          <cell r="J16">
            <v>0</v>
          </cell>
          <cell r="K16">
            <v>0</v>
          </cell>
          <cell r="L16">
            <v>0</v>
          </cell>
          <cell r="M16">
            <v>7559382.7284857938</v>
          </cell>
          <cell r="N16">
            <v>744</v>
          </cell>
          <cell r="O16">
            <v>10160.460656566927</v>
          </cell>
          <cell r="P16">
            <v>10160.460656566927</v>
          </cell>
          <cell r="Q16">
            <v>9986.9509997814457</v>
          </cell>
          <cell r="R16">
            <v>685.10274792510972</v>
          </cell>
          <cell r="S16">
            <v>0.9208370267810615</v>
          </cell>
          <cell r="T16">
            <v>10672.053747706555</v>
          </cell>
          <cell r="U16">
            <v>10329.502373744001</v>
          </cell>
        </row>
        <row r="17">
          <cell r="D17">
            <v>18153</v>
          </cell>
          <cell r="E17">
            <v>2017</v>
          </cell>
          <cell r="F17">
            <v>9</v>
          </cell>
          <cell r="G17">
            <v>23534.527323274451</v>
          </cell>
          <cell r="H17">
            <v>50361.961806565698</v>
          </cell>
          <cell r="I17">
            <v>7978320.2348394105</v>
          </cell>
          <cell r="J17">
            <v>0</v>
          </cell>
          <cell r="K17">
            <v>0</v>
          </cell>
          <cell r="L17">
            <v>0</v>
          </cell>
          <cell r="M17">
            <v>8052225.7239692509</v>
          </cell>
          <cell r="N17">
            <v>720</v>
          </cell>
          <cell r="O17">
            <v>11183.646838846182</v>
          </cell>
          <cell r="P17">
            <v>11183.646838846182</v>
          </cell>
          <cell r="Q17">
            <v>10672.053747706555</v>
          </cell>
          <cell r="R17">
            <v>891.80596914916896</v>
          </cell>
          <cell r="S17">
            <v>1.2386194015960681</v>
          </cell>
          <cell r="T17">
            <v>11563.859716855724</v>
          </cell>
          <cell r="U17">
            <v>11117.95673228114</v>
          </cell>
        </row>
        <row r="18">
          <cell r="D18">
            <v>20170</v>
          </cell>
          <cell r="E18">
            <v>2017</v>
          </cell>
          <cell r="F18">
            <v>10</v>
          </cell>
          <cell r="G18">
            <v>24749.02105374671</v>
          </cell>
          <cell r="H18">
            <v>53507.471526767629</v>
          </cell>
          <cell r="I18">
            <v>8808123.517999243</v>
          </cell>
          <cell r="J18">
            <v>0</v>
          </cell>
          <cell r="K18">
            <v>0</v>
          </cell>
          <cell r="L18">
            <v>0</v>
          </cell>
          <cell r="M18">
            <v>8886390.0105797574</v>
          </cell>
          <cell r="N18">
            <v>744</v>
          </cell>
          <cell r="O18">
            <v>11944.072594865265</v>
          </cell>
          <cell r="P18">
            <v>11944.072594865265</v>
          </cell>
          <cell r="Q18">
            <v>11563.859716855724</v>
          </cell>
          <cell r="R18">
            <v>748.45902610412304</v>
          </cell>
          <cell r="S18">
            <v>1.0059933146560793</v>
          </cell>
          <cell r="T18">
            <v>12312.318742959847</v>
          </cell>
          <cell r="U18">
            <v>11938.089229907786</v>
          </cell>
        </row>
        <row r="19">
          <cell r="D19">
            <v>22187</v>
          </cell>
          <cell r="E19">
            <v>2017</v>
          </cell>
          <cell r="F19">
            <v>11</v>
          </cell>
          <cell r="G19">
            <v>28312.734521869217</v>
          </cell>
          <cell r="H19">
            <v>58012.13278707378</v>
          </cell>
          <cell r="I19">
            <v>9043670.8542502467</v>
          </cell>
          <cell r="J19">
            <v>0</v>
          </cell>
          <cell r="K19">
            <v>0</v>
          </cell>
          <cell r="L19">
            <v>0</v>
          </cell>
          <cell r="M19">
            <v>9130006.7215591893</v>
          </cell>
          <cell r="N19">
            <v>720</v>
          </cell>
          <cell r="O19">
            <v>12680.56489105443</v>
          </cell>
          <cell r="P19">
            <v>12680.56489105443</v>
          </cell>
          <cell r="Q19">
            <v>12312.318742959847</v>
          </cell>
          <cell r="R19">
            <v>1556.2273751584726</v>
          </cell>
          <cell r="S19">
            <v>2.1614269099423229</v>
          </cell>
          <cell r="T19">
            <v>13868.54611811832</v>
          </cell>
          <cell r="U19">
            <v>13090.432430539084</v>
          </cell>
        </row>
        <row r="20">
          <cell r="D20">
            <v>24204</v>
          </cell>
          <cell r="E20">
            <v>2017</v>
          </cell>
          <cell r="F20">
            <v>12</v>
          </cell>
          <cell r="G20">
            <v>33898.885249554369</v>
          </cell>
          <cell r="H20">
            <v>106400.5618603013</v>
          </cell>
          <cell r="I20">
            <v>11061744.89770571</v>
          </cell>
          <cell r="J20">
            <v>0</v>
          </cell>
          <cell r="K20">
            <v>0</v>
          </cell>
          <cell r="L20">
            <v>0</v>
          </cell>
          <cell r="M20">
            <v>11202056.344815565</v>
          </cell>
          <cell r="N20">
            <v>744</v>
          </cell>
          <cell r="O20">
            <v>15056.527345182212</v>
          </cell>
          <cell r="P20">
            <v>15056.527345182212</v>
          </cell>
          <cell r="Q20">
            <v>13868.54611811832</v>
          </cell>
          <cell r="R20">
            <v>3062.4550892255756</v>
          </cell>
          <cell r="S20">
            <v>4.1162030769160962</v>
          </cell>
          <cell r="T20">
            <v>16931.001207343896</v>
          </cell>
          <cell r="U20">
            <v>15399.773662731108</v>
          </cell>
        </row>
        <row r="21">
          <cell r="D21">
            <v>2018</v>
          </cell>
          <cell r="E21">
            <v>2018</v>
          </cell>
          <cell r="F21">
            <v>1</v>
          </cell>
          <cell r="G21">
            <v>33236.775608519267</v>
          </cell>
          <cell r="H21">
            <v>191874.31523326153</v>
          </cell>
          <cell r="I21">
            <v>13766161.360870367</v>
          </cell>
          <cell r="J21">
            <v>0</v>
          </cell>
          <cell r="K21">
            <v>0</v>
          </cell>
          <cell r="L21">
            <v>0</v>
          </cell>
          <cell r="M21">
            <v>13991273.451712148</v>
          </cell>
          <cell r="N21">
            <v>744</v>
          </cell>
          <cell r="O21">
            <v>18805.475069505577</v>
          </cell>
          <cell r="P21">
            <v>18805.475069505577</v>
          </cell>
          <cell r="Q21">
            <v>16931.001207343896</v>
          </cell>
          <cell r="R21">
            <v>3435.3078919614381</v>
          </cell>
          <cell r="S21">
            <v>4.6173493171524704</v>
          </cell>
          <cell r="T21">
            <v>20366.309099305334</v>
          </cell>
          <cell r="U21">
            <v>18648.655153324617</v>
          </cell>
        </row>
        <row r="22">
          <cell r="D22">
            <v>4036</v>
          </cell>
          <cell r="E22">
            <v>2018</v>
          </cell>
          <cell r="F22">
            <v>2</v>
          </cell>
          <cell r="G22">
            <v>30738.816379310345</v>
          </cell>
          <cell r="H22">
            <v>190620.67385057471</v>
          </cell>
          <cell r="I22">
            <v>14513678.692528734</v>
          </cell>
          <cell r="J22">
            <v>0</v>
          </cell>
          <cell r="K22">
            <v>0</v>
          </cell>
          <cell r="L22">
            <v>0</v>
          </cell>
          <cell r="M22">
            <v>14735040.182758618</v>
          </cell>
          <cell r="N22">
            <v>672</v>
          </cell>
          <cell r="O22">
            <v>21927.143129105087</v>
          </cell>
          <cell r="P22">
            <v>21927.143129105087</v>
          </cell>
          <cell r="Q22">
            <v>20366.309099305334</v>
          </cell>
          <cell r="R22">
            <v>2181.6860607782364</v>
          </cell>
          <cell r="S22">
            <v>3.2465566380628519</v>
          </cell>
          <cell r="T22">
            <v>22547.99516008357</v>
          </cell>
          <cell r="U22">
            <v>21457.152129694452</v>
          </cell>
        </row>
        <row r="23">
          <cell r="D23">
            <v>6054</v>
          </cell>
          <cell r="E23">
            <v>2018</v>
          </cell>
          <cell r="F23">
            <v>3</v>
          </cell>
          <cell r="G23">
            <v>36532.454477196879</v>
          </cell>
          <cell r="H23">
            <v>209127.58008898777</v>
          </cell>
          <cell r="I23">
            <v>16991959.275583982</v>
          </cell>
          <cell r="J23">
            <v>0</v>
          </cell>
          <cell r="K23">
            <v>0</v>
          </cell>
          <cell r="L23">
            <v>0</v>
          </cell>
          <cell r="M23">
            <v>17237622.310150169</v>
          </cell>
          <cell r="N23">
            <v>744</v>
          </cell>
          <cell r="O23">
            <v>23168.847191062054</v>
          </cell>
          <cell r="P23">
            <v>23168.847191062054</v>
          </cell>
          <cell r="Q23">
            <v>22547.99516008357</v>
          </cell>
          <cell r="R23">
            <v>814.47486650347855</v>
          </cell>
          <cell r="S23">
            <v>1.094724282934783</v>
          </cell>
          <cell r="T23">
            <v>23362.470026587049</v>
          </cell>
          <cell r="U23">
            <v>22955.23259333531</v>
          </cell>
        </row>
        <row r="24">
          <cell r="D24">
            <v>8072</v>
          </cell>
          <cell r="E24">
            <v>2018</v>
          </cell>
          <cell r="F24">
            <v>4</v>
          </cell>
          <cell r="G24">
            <v>37228.94178717093</v>
          </cell>
          <cell r="H24">
            <v>267087.57855529711</v>
          </cell>
          <cell r="I24">
            <v>16656066.340378199</v>
          </cell>
          <cell r="J24">
            <v>0</v>
          </cell>
          <cell r="K24">
            <v>0</v>
          </cell>
          <cell r="L24">
            <v>0</v>
          </cell>
          <cell r="M24">
            <v>16960386.860720668</v>
          </cell>
          <cell r="N24">
            <v>720</v>
          </cell>
          <cell r="O24">
            <v>23556.09286211204</v>
          </cell>
          <cell r="P24">
            <v>23556.09286211204</v>
          </cell>
          <cell r="Q24">
            <v>23362.470026587049</v>
          </cell>
          <cell r="R24">
            <v>570.17891264249556</v>
          </cell>
          <cell r="S24">
            <v>0.79191515644791055</v>
          </cell>
          <cell r="T24">
            <v>23932.648939229544</v>
          </cell>
          <cell r="U24">
            <v>23647.559482908298</v>
          </cell>
        </row>
        <row r="25">
          <cell r="D25">
            <v>10090</v>
          </cell>
          <cell r="E25">
            <v>2018</v>
          </cell>
          <cell r="F25">
            <v>5</v>
          </cell>
          <cell r="G25">
            <v>41085.080111108298</v>
          </cell>
          <cell r="H25">
            <v>387799.18552600534</v>
          </cell>
          <cell r="I25">
            <v>17657159.26652509</v>
          </cell>
          <cell r="J25">
            <v>0</v>
          </cell>
          <cell r="K25">
            <v>0</v>
          </cell>
          <cell r="L25">
            <v>0</v>
          </cell>
          <cell r="M25">
            <v>18086048.532162204</v>
          </cell>
          <cell r="N25">
            <v>744</v>
          </cell>
          <cell r="O25">
            <v>24309.205016347049</v>
          </cell>
          <cell r="P25">
            <v>24309.205016347049</v>
          </cell>
          <cell r="Q25">
            <v>23932.648939229544</v>
          </cell>
          <cell r="R25">
            <v>574.8131011308833</v>
          </cell>
          <cell r="S25">
            <v>0.77259825420817652</v>
          </cell>
          <cell r="T25">
            <v>24507.462040360428</v>
          </cell>
          <cell r="U25">
            <v>24220.055489794984</v>
          </cell>
        </row>
        <row r="26">
          <cell r="D26">
            <v>12108</v>
          </cell>
          <cell r="E26">
            <v>2018</v>
          </cell>
          <cell r="F26">
            <v>6</v>
          </cell>
          <cell r="G26">
            <v>44848.410190615832</v>
          </cell>
          <cell r="H26">
            <v>369652.39261131897</v>
          </cell>
          <cell r="I26">
            <v>17373610.923547208</v>
          </cell>
          <cell r="J26">
            <v>0</v>
          </cell>
          <cell r="K26">
            <v>0</v>
          </cell>
          <cell r="L26">
            <v>0</v>
          </cell>
          <cell r="M26">
            <v>17788117.726349141</v>
          </cell>
          <cell r="N26">
            <v>720</v>
          </cell>
          <cell r="O26">
            <v>24705.719064373807</v>
          </cell>
          <cell r="P26">
            <v>24705.719064373807</v>
          </cell>
          <cell r="Q26">
            <v>24507.462040360428</v>
          </cell>
          <cell r="R26">
            <v>313.07628960329748</v>
          </cell>
          <cell r="S26">
            <v>0.43482818000457985</v>
          </cell>
          <cell r="T26">
            <v>24820.538329963725</v>
          </cell>
          <cell r="U26">
            <v>24664.000185162076</v>
          </cell>
        </row>
        <row r="27">
          <cell r="D27">
            <v>14126</v>
          </cell>
          <cell r="E27">
            <v>2018</v>
          </cell>
          <cell r="F27">
            <v>7</v>
          </cell>
          <cell r="G27">
            <v>54546.138545142749</v>
          </cell>
          <cell r="H27">
            <v>377703.6675565443</v>
          </cell>
          <cell r="I27">
            <v>18119649.244990226</v>
          </cell>
          <cell r="J27">
            <v>0</v>
          </cell>
          <cell r="K27">
            <v>0</v>
          </cell>
          <cell r="L27">
            <v>0</v>
          </cell>
          <cell r="M27">
            <v>18551906.051091913</v>
          </cell>
          <cell r="N27">
            <v>744</v>
          </cell>
          <cell r="O27">
            <v>24935.357595553647</v>
          </cell>
          <cell r="P27">
            <v>24935.357595553647</v>
          </cell>
          <cell r="Q27">
            <v>24820.538329963725</v>
          </cell>
          <cell r="R27">
            <v>-672.04216638049547</v>
          </cell>
          <cell r="S27">
            <v>-0.90328248169421432</v>
          </cell>
          <cell r="T27">
            <v>24148.49616358323</v>
          </cell>
          <cell r="U27">
            <v>24484.517246773477</v>
          </cell>
        </row>
        <row r="28">
          <cell r="D28">
            <v>16144</v>
          </cell>
          <cell r="E28">
            <v>2018</v>
          </cell>
          <cell r="F28">
            <v>8</v>
          </cell>
          <cell r="G28">
            <v>53166.904068493604</v>
          </cell>
          <cell r="H28">
            <v>381670.45480066835</v>
          </cell>
          <cell r="I28">
            <v>16946210.881450769</v>
          </cell>
          <cell r="J28">
            <v>0</v>
          </cell>
          <cell r="K28">
            <v>0</v>
          </cell>
          <cell r="L28">
            <v>0</v>
          </cell>
          <cell r="M28">
            <v>17381056.24031993</v>
          </cell>
          <cell r="N28">
            <v>744</v>
          </cell>
          <cell r="O28">
            <v>23361.634731612809</v>
          </cell>
          <cell r="P28">
            <v>23361.634731612809</v>
          </cell>
          <cell r="Q28">
            <v>24148.49616358323</v>
          </cell>
          <cell r="R28">
            <v>-755.9576398288882</v>
          </cell>
          <cell r="S28">
            <v>-1.0160720965442045</v>
          </cell>
          <cell r="T28">
            <v>23392.538523754341</v>
          </cell>
          <cell r="U28">
            <v>23770.517343668784</v>
          </cell>
        </row>
        <row r="29">
          <cell r="D29">
            <v>18162</v>
          </cell>
          <cell r="E29">
            <v>2018</v>
          </cell>
          <cell r="F29">
            <v>9</v>
          </cell>
          <cell r="G29">
            <v>48573.739921905071</v>
          </cell>
          <cell r="H29">
            <v>370700.34275216813</v>
          </cell>
          <cell r="I29">
            <v>16445595.384770956</v>
          </cell>
          <cell r="J29">
            <v>0</v>
          </cell>
          <cell r="K29">
            <v>0</v>
          </cell>
          <cell r="L29">
            <v>0</v>
          </cell>
          <cell r="M29">
            <v>16864878.467445031</v>
          </cell>
          <cell r="N29">
            <v>720</v>
          </cell>
          <cell r="O29">
            <v>23423.442315895874</v>
          </cell>
          <cell r="P29">
            <v>23423.442315895874</v>
          </cell>
          <cell r="Q29">
            <v>23392.538523754341</v>
          </cell>
          <cell r="R29">
            <v>-189.72162870662942</v>
          </cell>
          <cell r="S29">
            <v>-0.26350226209254085</v>
          </cell>
          <cell r="T29">
            <v>23202.816895047712</v>
          </cell>
          <cell r="U29">
            <v>23297.677709401025</v>
          </cell>
        </row>
        <row r="30">
          <cell r="D30">
            <v>20180</v>
          </cell>
          <cell r="E30">
            <v>2018</v>
          </cell>
          <cell r="F30">
            <v>10</v>
          </cell>
          <cell r="G30">
            <v>48324.952019056262</v>
          </cell>
          <cell r="H30">
            <v>376758.66802233958</v>
          </cell>
          <cell r="I30">
            <v>16673656.836763071</v>
          </cell>
          <cell r="J30">
            <v>0</v>
          </cell>
          <cell r="K30">
            <v>0</v>
          </cell>
          <cell r="L30">
            <v>0</v>
          </cell>
          <cell r="M30">
            <v>17098750.456804466</v>
          </cell>
          <cell r="N30">
            <v>744</v>
          </cell>
          <cell r="O30">
            <v>22982.19147419955</v>
          </cell>
          <cell r="P30">
            <v>22982.19147419955</v>
          </cell>
          <cell r="Q30">
            <v>23202.816895047712</v>
          </cell>
          <cell r="R30">
            <v>-264.52623218940425</v>
          </cell>
          <cell r="S30">
            <v>-0.3555460110072638</v>
          </cell>
          <cell r="T30">
            <v>22938.290662858308</v>
          </cell>
          <cell r="U30">
            <v>23070.55377895301</v>
          </cell>
        </row>
        <row r="31">
          <cell r="D31">
            <v>22198</v>
          </cell>
          <cell r="E31">
            <v>2018</v>
          </cell>
          <cell r="F31">
            <v>11</v>
          </cell>
          <cell r="G31">
            <v>52250.717149947748</v>
          </cell>
          <cell r="H31">
            <v>360201.72815860214</v>
          </cell>
          <cell r="I31">
            <v>16071497.247783735</v>
          </cell>
          <cell r="J31">
            <v>0</v>
          </cell>
          <cell r="K31">
            <v>0</v>
          </cell>
          <cell r="L31">
            <v>0</v>
          </cell>
          <cell r="M31">
            <v>16483960.693092285</v>
          </cell>
          <cell r="N31">
            <v>720</v>
          </cell>
          <cell r="O31">
            <v>22894.389851517062</v>
          </cell>
          <cell r="P31">
            <v>22894.389851517062</v>
          </cell>
          <cell r="Q31">
            <v>22938.290662858308</v>
          </cell>
          <cell r="R31">
            <v>-932.25431154776379</v>
          </cell>
          <cell r="S31">
            <v>-1.2947976549274498</v>
          </cell>
          <cell r="T31">
            <v>22006.036351310544</v>
          </cell>
          <cell r="U31">
            <v>22472.163507084428</v>
          </cell>
        </row>
        <row r="32">
          <cell r="D32">
            <v>24216</v>
          </cell>
          <cell r="E32">
            <v>2018</v>
          </cell>
          <cell r="F32">
            <v>12</v>
          </cell>
          <cell r="G32">
            <v>58652.291558852288</v>
          </cell>
          <cell r="H32">
            <v>373076.68084066472</v>
          </cell>
          <cell r="I32">
            <v>17494902.53054741</v>
          </cell>
          <cell r="J32">
            <v>0</v>
          </cell>
          <cell r="K32">
            <v>0</v>
          </cell>
          <cell r="L32">
            <v>0</v>
          </cell>
          <cell r="M32">
            <v>17926643.502946928</v>
          </cell>
          <cell r="N32">
            <v>744</v>
          </cell>
          <cell r="O32">
            <v>24094.950944821139</v>
          </cell>
          <cell r="P32">
            <v>21117.682851104026</v>
          </cell>
          <cell r="Q32">
            <v>22006.036351310544</v>
          </cell>
          <cell r="R32">
            <v>-2648.1604044651867</v>
          </cell>
          <cell r="S32">
            <v>-3.5593553823456809</v>
          </cell>
          <cell r="T32">
            <v>19357.875946845357</v>
          </cell>
          <cell r="U32">
            <v>20681.956149077952</v>
          </cell>
        </row>
        <row r="33">
          <cell r="D33">
            <v>2019</v>
          </cell>
          <cell r="E33">
            <v>2019</v>
          </cell>
          <cell r="F33">
            <v>1</v>
          </cell>
          <cell r="G33">
            <v>62194.605515337898</v>
          </cell>
          <cell r="H33">
            <v>377296.82453567936</v>
          </cell>
          <cell r="I33">
            <v>13890705.913085245</v>
          </cell>
          <cell r="J33">
            <v>0</v>
          </cell>
          <cell r="K33">
            <v>0</v>
          </cell>
          <cell r="L33">
            <v>0</v>
          </cell>
          <cell r="M33">
            <v>14330198.343136262</v>
          </cell>
          <cell r="N33">
            <v>744</v>
          </cell>
          <cell r="O33">
            <v>19261.019278408956</v>
          </cell>
          <cell r="P33">
            <v>17598.069042586685</v>
          </cell>
          <cell r="Q33">
            <v>19357.875946845357</v>
          </cell>
          <cell r="R33">
            <v>-2053.1080549684484</v>
          </cell>
          <cell r="S33">
            <v>-2.7595538373231832</v>
          </cell>
          <cell r="T33">
            <v>17304.767891876909</v>
          </cell>
          <cell r="U33">
            <v>18331.321919361133</v>
          </cell>
        </row>
        <row r="34">
          <cell r="D34">
            <v>4038</v>
          </cell>
          <cell r="E34">
            <v>2019</v>
          </cell>
          <cell r="F34">
            <v>2</v>
          </cell>
          <cell r="G34">
            <v>57401.905132687112</v>
          </cell>
          <cell r="H34">
            <v>337964.60714285716</v>
          </cell>
          <cell r="I34">
            <v>9925937.6337464917</v>
          </cell>
          <cell r="J34">
            <v>0</v>
          </cell>
          <cell r="K34">
            <v>0</v>
          </cell>
          <cell r="L34">
            <v>0</v>
          </cell>
          <cell r="M34">
            <v>10321306.146022037</v>
          </cell>
          <cell r="N34">
            <v>672</v>
          </cell>
          <cell r="O34">
            <v>15359.086526818506</v>
          </cell>
          <cell r="P34">
            <v>17011.466741167129</v>
          </cell>
          <cell r="Q34">
            <v>17304.767891876909</v>
          </cell>
          <cell r="R34">
            <v>293.30115070977627</v>
          </cell>
          <cell r="S34">
            <v>0.43646004569907182</v>
          </cell>
          <cell r="T34">
            <v>17598.069042586685</v>
          </cell>
          <cell r="U34">
            <v>17451.418467231797</v>
          </cell>
        </row>
        <row r="35">
          <cell r="D35">
            <v>6057</v>
          </cell>
          <cell r="E35">
            <v>2019</v>
          </cell>
          <cell r="F35">
            <v>3</v>
          </cell>
          <cell r="G35">
            <v>58099.819005243924</v>
          </cell>
          <cell r="H35">
            <v>358305.89285714284</v>
          </cell>
          <cell r="I35">
            <v>10822780.176569814</v>
          </cell>
          <cell r="J35">
            <v>0</v>
          </cell>
          <cell r="K35">
            <v>0</v>
          </cell>
          <cell r="L35">
            <v>0</v>
          </cell>
          <cell r="M35">
            <v>11239188.888432201</v>
          </cell>
          <cell r="N35">
            <v>744</v>
          </cell>
          <cell r="O35">
            <v>15106.436678000271</v>
          </cell>
          <cell r="P35">
            <v>18184.671344006245</v>
          </cell>
          <cell r="Q35">
            <v>17598.069042586685</v>
          </cell>
          <cell r="R35">
            <v>1466.5057535488959</v>
          </cell>
          <cell r="S35">
            <v>1.9711098838022794</v>
          </cell>
          <cell r="T35">
            <v>19064.574796135581</v>
          </cell>
          <cell r="U35">
            <v>18331.321919361133</v>
          </cell>
        </row>
        <row r="36">
          <cell r="D36">
            <v>8076</v>
          </cell>
          <cell r="E36">
            <v>2019</v>
          </cell>
          <cell r="F36">
            <v>4</v>
          </cell>
          <cell r="G36">
            <v>0</v>
          </cell>
          <cell r="H36">
            <v>0</v>
          </cell>
          <cell r="I36">
            <v>0</v>
          </cell>
          <cell r="J36">
            <v>57851</v>
          </cell>
          <cell r="K36">
            <v>263887.572223105</v>
          </cell>
          <cell r="L36">
            <v>13410918.578640491</v>
          </cell>
          <cell r="M36">
            <v>13732661.150863595</v>
          </cell>
          <cell r="N36">
            <v>720</v>
          </cell>
          <cell r="O36">
            <v>19073.140487310549</v>
          </cell>
          <cell r="P36">
            <v>19944.478248264913</v>
          </cell>
          <cell r="Q36">
            <v>19064.574796135581</v>
          </cell>
          <cell r="R36">
            <v>2639.7103563880009</v>
          </cell>
          <cell r="S36">
            <v>3.6662643838722238</v>
          </cell>
          <cell r="T36">
            <v>21704.285152523582</v>
          </cell>
          <cell r="U36">
            <v>20384.429974329581</v>
          </cell>
        </row>
        <row r="37">
          <cell r="D37">
            <v>10095</v>
          </cell>
          <cell r="E37">
            <v>2019</v>
          </cell>
          <cell r="F37">
            <v>5</v>
          </cell>
          <cell r="G37">
            <v>0</v>
          </cell>
          <cell r="H37">
            <v>0</v>
          </cell>
          <cell r="I37">
            <v>0</v>
          </cell>
          <cell r="J37">
            <v>49517</v>
          </cell>
          <cell r="K37">
            <v>208071.5361512792</v>
          </cell>
          <cell r="L37">
            <v>17915221.282051284</v>
          </cell>
          <cell r="M37">
            <v>18172814.818202563</v>
          </cell>
          <cell r="N37">
            <v>744</v>
          </cell>
          <cell r="O37">
            <v>24425.826368551832</v>
          </cell>
          <cell r="P37">
            <v>23464.09205678225</v>
          </cell>
          <cell r="Q37">
            <v>21704.285152523582</v>
          </cell>
          <cell r="R37">
            <v>2649.2630867074695</v>
          </cell>
          <cell r="S37">
            <v>3.5608374821336954</v>
          </cell>
          <cell r="T37">
            <v>24353.548239231051</v>
          </cell>
          <cell r="U37">
            <v>23028.916695877317</v>
          </cell>
        </row>
        <row r="38">
          <cell r="D38">
            <v>12114</v>
          </cell>
          <cell r="E38">
            <v>2019</v>
          </cell>
          <cell r="F38">
            <v>6</v>
          </cell>
          <cell r="G38">
            <v>0</v>
          </cell>
          <cell r="H38">
            <v>0</v>
          </cell>
          <cell r="I38">
            <v>0</v>
          </cell>
          <cell r="J38">
            <v>44395</v>
          </cell>
          <cell r="K38">
            <v>270392</v>
          </cell>
          <cell r="L38">
            <v>17860170.183609493</v>
          </cell>
          <cell r="M38">
            <v>18174963.183609493</v>
          </cell>
          <cell r="N38">
            <v>720</v>
          </cell>
          <cell r="O38">
            <v>25243.004421679852</v>
          </cell>
          <cell r="P38">
            <v>25243.004421679852</v>
          </cell>
          <cell r="Q38">
            <v>24353.548239231051</v>
          </cell>
          <cell r="R38">
            <v>1770.9135116980033</v>
          </cell>
          <cell r="S38">
            <v>2.4596020995805601</v>
          </cell>
          <cell r="T38">
            <v>26124.461750929055</v>
          </cell>
          <cell r="U38">
            <v>25239.004995080053</v>
          </cell>
        </row>
        <row r="39">
          <cell r="D39">
            <v>14133</v>
          </cell>
          <cell r="E39">
            <v>2019</v>
          </cell>
          <cell r="F39">
            <v>7</v>
          </cell>
          <cell r="G39">
            <v>0</v>
          </cell>
          <cell r="H39">
            <v>0</v>
          </cell>
          <cell r="I39">
            <v>0</v>
          </cell>
          <cell r="J39">
            <v>43996</v>
          </cell>
          <cell r="K39">
            <v>356813</v>
          </cell>
          <cell r="L39">
            <v>19691587.79565262</v>
          </cell>
          <cell r="M39">
            <v>20092403.79565262</v>
          </cell>
          <cell r="N39">
            <v>744</v>
          </cell>
          <cell r="O39">
            <v>27005.919080178253</v>
          </cell>
          <cell r="P39">
            <v>27005.919080178253</v>
          </cell>
          <cell r="Q39">
            <v>26124.461750929055</v>
          </cell>
          <cell r="R39">
            <v>410.14513274903584</v>
          </cell>
          <cell r="S39">
            <v>0.55127033971644601</v>
          </cell>
          <cell r="T39">
            <v>26534.606883678091</v>
          </cell>
          <cell r="U39">
            <v>26329.534317303573</v>
          </cell>
        </row>
        <row r="40">
          <cell r="D40">
            <v>16152</v>
          </cell>
          <cell r="E40">
            <v>2019</v>
          </cell>
          <cell r="F40">
            <v>8</v>
          </cell>
          <cell r="G40">
            <v>0</v>
          </cell>
          <cell r="H40">
            <v>0</v>
          </cell>
          <cell r="I40">
            <v>0</v>
          </cell>
          <cell r="J40">
            <v>50342</v>
          </cell>
          <cell r="K40">
            <v>337359</v>
          </cell>
          <cell r="L40">
            <v>19003382.247260377</v>
          </cell>
          <cell r="M40">
            <v>19391091.247260377</v>
          </cell>
          <cell r="N40">
            <v>744</v>
          </cell>
          <cell r="O40">
            <v>26063.294687177924</v>
          </cell>
          <cell r="P40">
            <v>26063.294687177924</v>
          </cell>
          <cell r="Q40">
            <v>26534.606883678091</v>
          </cell>
          <cell r="R40">
            <v>-1201.9883131306015</v>
          </cell>
          <cell r="S40">
            <v>-1.6155756896916686</v>
          </cell>
          <cell r="T40">
            <v>25332.618570547489</v>
          </cell>
          <cell r="U40">
            <v>25933.612727112792</v>
          </cell>
        </row>
        <row r="41">
          <cell r="D41">
            <v>18171</v>
          </cell>
          <cell r="E41">
            <v>2019</v>
          </cell>
          <cell r="F41">
            <v>9</v>
          </cell>
          <cell r="G41">
            <v>0</v>
          </cell>
          <cell r="H41">
            <v>0</v>
          </cell>
          <cell r="I41">
            <v>0</v>
          </cell>
          <cell r="J41">
            <v>46340</v>
          </cell>
          <cell r="K41">
            <v>317488</v>
          </cell>
          <cell r="L41">
            <v>17349561.566820279</v>
          </cell>
          <cell r="M41">
            <v>17713398.566820279</v>
          </cell>
          <cell r="N41">
            <v>720</v>
          </cell>
          <cell r="O41">
            <v>24601.942453917054</v>
          </cell>
          <cell r="P41">
            <v>24601.942453917054</v>
          </cell>
          <cell r="Q41">
            <v>25332.618570547489</v>
          </cell>
          <cell r="R41">
            <v>-753.4769027452603</v>
          </cell>
          <cell r="S41">
            <v>-1.0464956982573059</v>
          </cell>
          <cell r="T41">
            <v>24579.141667802229</v>
          </cell>
          <cell r="U41">
            <v>24955.880119174857</v>
          </cell>
        </row>
        <row r="42">
          <cell r="D42">
            <v>20190</v>
          </cell>
          <cell r="E42">
            <v>2019</v>
          </cell>
          <cell r="F42">
            <v>10</v>
          </cell>
          <cell r="G42">
            <v>0</v>
          </cell>
          <cell r="H42">
            <v>0</v>
          </cell>
          <cell r="I42">
            <v>0</v>
          </cell>
          <cell r="J42">
            <v>47345</v>
          </cell>
          <cell r="K42">
            <v>338733</v>
          </cell>
          <cell r="L42">
            <v>17883829.615975425</v>
          </cell>
          <cell r="M42">
            <v>18269917.615975425</v>
          </cell>
          <cell r="N42">
            <v>744</v>
          </cell>
          <cell r="O42">
            <v>24556.3408816874</v>
          </cell>
          <cell r="P42">
            <v>24556.3408816874</v>
          </cell>
          <cell r="Q42">
            <v>24579.141667802229</v>
          </cell>
          <cell r="R42">
            <v>89.653929851505382</v>
          </cell>
          <cell r="S42">
            <v>0.12050259388643196</v>
          </cell>
          <cell r="T42">
            <v>24668.795597653734</v>
          </cell>
          <cell r="U42">
            <v>24623.968632727981</v>
          </cell>
        </row>
        <row r="43">
          <cell r="D43">
            <v>22209</v>
          </cell>
          <cell r="E43">
            <v>2019</v>
          </cell>
          <cell r="F43">
            <v>11</v>
          </cell>
          <cell r="G43">
            <v>0</v>
          </cell>
          <cell r="H43">
            <v>0</v>
          </cell>
          <cell r="I43">
            <v>0</v>
          </cell>
          <cell r="J43">
            <v>52003</v>
          </cell>
          <cell r="K43">
            <v>333723</v>
          </cell>
          <cell r="L43">
            <v>17456763.225806452</v>
          </cell>
          <cell r="M43">
            <v>17842500.225806452</v>
          </cell>
          <cell r="N43">
            <v>720</v>
          </cell>
          <cell r="O43">
            <v>24781.250313620072</v>
          </cell>
          <cell r="P43">
            <v>24781.250313620072</v>
          </cell>
          <cell r="Q43">
            <v>24668.795597653734</v>
          </cell>
          <cell r="R43">
            <v>-287.24286973720882</v>
          </cell>
          <cell r="S43">
            <v>-0.3989484301905678</v>
          </cell>
          <cell r="T43">
            <v>24381.552727916525</v>
          </cell>
          <cell r="U43">
            <v>24525.17416278513</v>
          </cell>
        </row>
        <row r="44">
          <cell r="D44">
            <v>24228</v>
          </cell>
          <cell r="E44">
            <v>2019</v>
          </cell>
          <cell r="F44">
            <v>12</v>
          </cell>
          <cell r="G44">
            <v>0</v>
          </cell>
          <cell r="H44">
            <v>0</v>
          </cell>
          <cell r="I44">
            <v>0</v>
          </cell>
          <cell r="J44">
            <v>54419</v>
          </cell>
          <cell r="K44">
            <v>340903</v>
          </cell>
          <cell r="L44">
            <v>17711294.838709675</v>
          </cell>
          <cell r="M44">
            <v>17842500.225806452</v>
          </cell>
          <cell r="N44">
            <v>744</v>
          </cell>
          <cell r="O44">
            <v>23981.855142212975</v>
          </cell>
          <cell r="P44">
            <v>23981.855142212975</v>
          </cell>
          <cell r="Q44">
            <v>24381.552727916525</v>
          </cell>
          <cell r="R44">
            <v>0</v>
          </cell>
          <cell r="S44">
            <v>0</v>
          </cell>
          <cell r="T44">
            <v>24381.552727916525</v>
          </cell>
          <cell r="U44">
            <v>24381.552727916525</v>
          </cell>
        </row>
      </sheetData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B313F-8262-4AE8-9F91-8CBCCDE58C4F}">
  <dimension ref="B2:Z40"/>
  <sheetViews>
    <sheetView workbookViewId="0">
      <selection activeCell="G35" sqref="G35"/>
    </sheetView>
  </sheetViews>
  <sheetFormatPr defaultRowHeight="15" x14ac:dyDescent="0.25"/>
  <cols>
    <col min="1" max="3" width="3.7109375" style="2" customWidth="1"/>
    <col min="4" max="4" width="21.42578125" style="2" bestFit="1" customWidth="1"/>
    <col min="5" max="5" width="15.85546875" style="2" bestFit="1" customWidth="1"/>
    <col min="6" max="8" width="12.85546875" style="2" bestFit="1" customWidth="1"/>
    <col min="9" max="13" width="3.7109375" style="2" customWidth="1"/>
    <col min="14" max="14" width="14" style="2" bestFit="1" customWidth="1"/>
    <col min="15" max="16" width="10.7109375" style="2" customWidth="1"/>
    <col min="17" max="17" width="10" style="2" bestFit="1" customWidth="1"/>
    <col min="18" max="22" width="3.7109375" style="2" customWidth="1"/>
    <col min="23" max="23" width="9.140625" style="2"/>
    <col min="24" max="24" width="15.28515625" style="2" bestFit="1" customWidth="1"/>
    <col min="25" max="26" width="3.7109375" style="2" customWidth="1"/>
    <col min="27" max="16384" width="9.140625" style="2"/>
  </cols>
  <sheetData>
    <row r="2" spans="2:26" x14ac:dyDescent="0.25">
      <c r="B2" s="243" t="str">
        <f>"Typical Customer Load Data for for "&amp;TEXT(E4,"m/d/yyyy")&amp;" to "&amp;TEXT(E5,"m/d/yyyy")</f>
        <v>Typical Customer Load Data for for 1/1/2017 to 1/1/2020</v>
      </c>
      <c r="C2" s="426"/>
      <c r="D2" s="426"/>
      <c r="E2" s="426"/>
      <c r="F2" s="426"/>
      <c r="G2" s="426"/>
      <c r="H2" s="426"/>
      <c r="I2" s="426"/>
      <c r="J2" s="426"/>
      <c r="L2" s="243" t="str">
        <f>"Typical Customer Load Data for for "&amp;TEXT(O4,"m/d/yyyy")&amp;" to "&amp;TEXT(O5,"m/d/yyyy")</f>
        <v>Typical Customer Load Data for for 1/0/1900 to Annual Total $</v>
      </c>
      <c r="M2" s="426"/>
      <c r="N2" s="426"/>
      <c r="O2" s="426"/>
      <c r="P2" s="426"/>
      <c r="Q2" s="426"/>
      <c r="R2" s="426"/>
      <c r="S2" s="223"/>
      <c r="U2" s="243" t="s">
        <v>107</v>
      </c>
      <c r="V2" s="426"/>
      <c r="W2" s="426"/>
      <c r="X2" s="426"/>
      <c r="Y2" s="426"/>
      <c r="Z2" s="426"/>
    </row>
    <row r="3" spans="2:26" ht="15.75" thickBot="1" x14ac:dyDescent="0.3">
      <c r="B3" s="223"/>
      <c r="J3" s="223"/>
      <c r="L3" s="223"/>
      <c r="S3" s="223"/>
      <c r="U3" s="223"/>
      <c r="Z3" s="426"/>
    </row>
    <row r="4" spans="2:26" x14ac:dyDescent="0.25">
      <c r="B4" s="223"/>
      <c r="D4" s="198" t="s">
        <v>0</v>
      </c>
      <c r="E4" s="435">
        <f>'Study Period kWh'!I3</f>
        <v>42736</v>
      </c>
      <c r="J4" s="223"/>
      <c r="L4" s="223"/>
      <c r="N4" s="410" t="str">
        <f>"Stats for "&amp;TEXT(E4,"m/d/yyyy")&amp;" to "&amp;TEXT(E5,"m/d/yyyy")</f>
        <v>Stats for 1/1/2017 to 1/1/2020</v>
      </c>
      <c r="O4" s="411"/>
      <c r="P4" s="411"/>
      <c r="Q4" s="412"/>
      <c r="S4" s="223"/>
      <c r="U4" s="223"/>
      <c r="W4" s="2" t="s">
        <v>103</v>
      </c>
      <c r="X4" s="53">
        <f>(G15*G17+G21*G23)*(1+0.06)</f>
        <v>4732732.2683171323</v>
      </c>
      <c r="Z4" s="426"/>
    </row>
    <row r="5" spans="2:26" x14ac:dyDescent="0.25">
      <c r="B5" s="223"/>
      <c r="D5" s="199" t="s">
        <v>1</v>
      </c>
      <c r="E5" s="436">
        <f>'Study Period kWh'!I4</f>
        <v>43831</v>
      </c>
      <c r="J5" s="223"/>
      <c r="L5" s="223"/>
      <c r="N5" s="413" t="s">
        <v>3</v>
      </c>
      <c r="O5" s="205" t="s">
        <v>86</v>
      </c>
      <c r="P5" s="206"/>
      <c r="Q5" s="414"/>
      <c r="S5" s="223"/>
      <c r="U5" s="223"/>
      <c r="W5" s="2" t="s">
        <v>104</v>
      </c>
      <c r="X5" s="74">
        <f>ROUND(X4/8760,1)</f>
        <v>540.29999999999995</v>
      </c>
      <c r="Z5" s="426"/>
    </row>
    <row r="6" spans="2:26" x14ac:dyDescent="0.25">
      <c r="B6" s="223"/>
      <c r="J6" s="223"/>
      <c r="L6" s="223"/>
      <c r="N6" s="415" t="s">
        <v>89</v>
      </c>
      <c r="O6" s="204" t="s">
        <v>83</v>
      </c>
      <c r="P6" s="204" t="s">
        <v>84</v>
      </c>
      <c r="Q6" s="416" t="s">
        <v>85</v>
      </c>
      <c r="S6" s="223"/>
      <c r="U6" s="223"/>
      <c r="W6" s="2" t="s">
        <v>108</v>
      </c>
      <c r="X6" s="505">
        <f>X5/(X5+(G23-G24)/8760)</f>
        <v>0.93376161807308322</v>
      </c>
      <c r="Z6" s="426"/>
    </row>
    <row r="7" spans="2:26" x14ac:dyDescent="0.25">
      <c r="B7" s="223"/>
      <c r="D7" s="200"/>
      <c r="E7" s="424">
        <f>'Study Period kWh'!H72</f>
        <v>2017</v>
      </c>
      <c r="F7" s="425">
        <f>'Study Period kWh'!I72</f>
        <v>2018</v>
      </c>
      <c r="G7" s="425">
        <f>'Study Period kWh'!J72</f>
        <v>2019</v>
      </c>
      <c r="H7" s="425" t="str">
        <f>'Study Period kWh'!K72</f>
        <v>Study Period</v>
      </c>
      <c r="J7" s="223"/>
      <c r="L7" s="223"/>
      <c r="N7" s="417">
        <v>2.5000000000000001E-3</v>
      </c>
      <c r="O7" s="213">
        <f>$N7*H$16</f>
        <v>550.10082616106104</v>
      </c>
      <c r="P7" s="213">
        <f>$N7*H$22</f>
        <v>2711.5783045977009</v>
      </c>
      <c r="Q7" s="418">
        <f>$N7*H$28</f>
        <v>71063.041666666672</v>
      </c>
      <c r="S7" s="223"/>
      <c r="U7" s="223"/>
      <c r="W7" s="2" t="s">
        <v>105</v>
      </c>
      <c r="X7" s="53">
        <f>G27*G29*(1+0.06)</f>
        <v>204497482.24140331</v>
      </c>
      <c r="Z7" s="426"/>
    </row>
    <row r="8" spans="2:26" x14ac:dyDescent="0.25">
      <c r="B8" s="223"/>
      <c r="D8" s="201" t="str">
        <f>'Study Period kWh'!F75</f>
        <v>All Customers</v>
      </c>
      <c r="E8" s="202"/>
      <c r="F8" s="203"/>
      <c r="G8" s="203"/>
      <c r="H8" s="203"/>
      <c r="J8" s="223"/>
      <c r="L8" s="223"/>
      <c r="N8" s="419">
        <v>5.0000000000000001E-3</v>
      </c>
      <c r="O8" s="214">
        <f>$N8*H$16</f>
        <v>1100.2016523221221</v>
      </c>
      <c r="P8" s="214">
        <f>$N8*H$22</f>
        <v>5423.1566091954019</v>
      </c>
      <c r="Q8" s="420">
        <f>$N8*H$28</f>
        <v>142126.08333333334</v>
      </c>
      <c r="S8" s="223"/>
      <c r="U8" s="223"/>
      <c r="W8" s="2" t="s">
        <v>106</v>
      </c>
      <c r="X8" s="74">
        <f>ROUND(X7/8760,1)</f>
        <v>23344.5</v>
      </c>
      <c r="Z8" s="426"/>
    </row>
    <row r="9" spans="2:26" x14ac:dyDescent="0.25">
      <c r="B9" s="223"/>
      <c r="D9" s="207" t="str">
        <f>'Study Period kWh'!F76</f>
        <v>Number of Accounts</v>
      </c>
      <c r="E9" s="208">
        <f>'Study Period kWh'!H76</f>
        <v>27</v>
      </c>
      <c r="F9" s="209">
        <f>'Study Period kWh'!I76</f>
        <v>33</v>
      </c>
      <c r="G9" s="209">
        <f>'Study Period kWh'!J76</f>
        <v>34</v>
      </c>
      <c r="H9" s="209">
        <f>'Study Period kWh'!K76</f>
        <v>29.138888888888889</v>
      </c>
      <c r="J9" s="223"/>
      <c r="L9" s="223"/>
      <c r="N9" s="419">
        <v>0.01</v>
      </c>
      <c r="O9" s="214">
        <f>$N9*H$16</f>
        <v>2200.4033046442441</v>
      </c>
      <c r="P9" s="214">
        <f>$N9*H$22</f>
        <v>10846.313218390804</v>
      </c>
      <c r="Q9" s="420">
        <f>$N9*H$28</f>
        <v>284252.16666666669</v>
      </c>
      <c r="S9" s="223"/>
      <c r="U9" s="223"/>
      <c r="W9" s="2" t="s">
        <v>109</v>
      </c>
      <c r="X9" s="505">
        <f>EI_Load_Factor</f>
        <v>0.92851780801009542</v>
      </c>
      <c r="Z9" s="426"/>
    </row>
    <row r="10" spans="2:26" ht="15.75" thickBot="1" x14ac:dyDescent="0.3">
      <c r="B10" s="223"/>
      <c r="D10" s="207" t="str">
        <f>'Study Period kWh'!F77</f>
        <v>Largest</v>
      </c>
      <c r="E10" s="211">
        <f>'Study Period kWh'!H77</f>
        <v>27798250</v>
      </c>
      <c r="F10" s="212">
        <f>'Study Period kWh'!I77</f>
        <v>30519322.580645166</v>
      </c>
      <c r="G10" s="212">
        <f>'Study Period kWh'!J77</f>
        <v>26958077.419354841</v>
      </c>
      <c r="H10" s="212">
        <f>'Study Period kWh'!K77</f>
        <v>28425216.666666664</v>
      </c>
      <c r="J10" s="223"/>
      <c r="L10" s="223"/>
      <c r="N10" s="421">
        <v>1.4999999999999999E-2</v>
      </c>
      <c r="O10" s="422">
        <f>$N10*H$16</f>
        <v>3300.604956966366</v>
      </c>
      <c r="P10" s="422">
        <f>$N10*H$22</f>
        <v>16269.469827586207</v>
      </c>
      <c r="Q10" s="423">
        <f>$N10*H$28</f>
        <v>426378.25</v>
      </c>
      <c r="S10" s="223"/>
      <c r="U10" s="223"/>
      <c r="Z10" s="426"/>
    </row>
    <row r="11" spans="2:26" x14ac:dyDescent="0.25">
      <c r="B11" s="223"/>
      <c r="D11" s="207" t="str">
        <f>'Study Period kWh'!F78</f>
        <v>Average</v>
      </c>
      <c r="E11" s="211">
        <f>'Study Period kWh'!H78</f>
        <v>3350620.7724480387</v>
      </c>
      <c r="F11" s="212">
        <f>'Study Period kWh'!I78</f>
        <v>6154715.3477440467</v>
      </c>
      <c r="G11" s="212">
        <f>'Study Period kWh'!J78</f>
        <v>5805499.8476614999</v>
      </c>
      <c r="H11" s="212">
        <f>'Study Period kWh'!K78</f>
        <v>4813327.0799229564</v>
      </c>
      <c r="J11" s="223"/>
      <c r="L11" s="223"/>
      <c r="S11" s="223"/>
      <c r="U11" s="223"/>
      <c r="V11" s="223"/>
      <c r="W11" s="223"/>
      <c r="X11" s="223"/>
      <c r="Y11" s="223"/>
      <c r="Z11" s="426"/>
    </row>
    <row r="12" spans="2:26" x14ac:dyDescent="0.25">
      <c r="B12" s="223"/>
      <c r="D12" s="207" t="str">
        <f>'Study Period kWh'!F79</f>
        <v>Median</v>
      </c>
      <c r="E12" s="211">
        <f>'Study Period kWh'!H79</f>
        <v>1027063.8655462186</v>
      </c>
      <c r="F12" s="212">
        <f>'Study Period kWh'!I79</f>
        <v>3490360.3036053125</v>
      </c>
      <c r="G12" s="212">
        <f>'Study Period kWh'!J79</f>
        <v>3201834.3401759528</v>
      </c>
      <c r="H12" s="212">
        <f>'Study Period kWh'!K79</f>
        <v>2607234.7058823532</v>
      </c>
      <c r="J12" s="223"/>
      <c r="L12" s="223"/>
      <c r="N12" s="427" t="s">
        <v>88</v>
      </c>
      <c r="O12" s="428"/>
      <c r="P12" s="428"/>
      <c r="Q12" s="429"/>
      <c r="S12" s="223"/>
    </row>
    <row r="13" spans="2:26" x14ac:dyDescent="0.25">
      <c r="B13" s="223"/>
      <c r="D13" s="215" t="str">
        <f>'Study Period kWh'!F80</f>
        <v>Minimum</v>
      </c>
      <c r="E13" s="216">
        <f>'Study Period kWh'!H80</f>
        <v>6208</v>
      </c>
      <c r="F13" s="217">
        <f>'Study Period kWh'!I80</f>
        <v>9680.0967741935456</v>
      </c>
      <c r="G13" s="217">
        <f>'Study Period kWh'!J80</f>
        <v>50174.411764705881</v>
      </c>
      <c r="H13" s="217">
        <f>'Study Period kWh'!K80</f>
        <v>42696.411805555552</v>
      </c>
      <c r="J13" s="223"/>
      <c r="L13" s="223"/>
      <c r="S13" s="223"/>
    </row>
    <row r="14" spans="2:26" x14ac:dyDescent="0.25">
      <c r="B14" s="223"/>
      <c r="D14" s="201" t="str">
        <f>'Study Period kWh'!F81</f>
        <v>Rate 17ar</v>
      </c>
      <c r="E14" s="202">
        <f>'Study Period kWh'!H81</f>
        <v>0</v>
      </c>
      <c r="F14" s="203">
        <f>'Study Period kWh'!I81</f>
        <v>0</v>
      </c>
      <c r="G14" s="203">
        <f>'Study Period kWh'!J81</f>
        <v>0</v>
      </c>
      <c r="H14" s="203">
        <f>'Study Period kWh'!K81</f>
        <v>0</v>
      </c>
      <c r="J14" s="223"/>
      <c r="L14" s="223"/>
      <c r="N14" s="430" t="s">
        <v>87</v>
      </c>
      <c r="O14" s="431"/>
      <c r="P14" s="431"/>
      <c r="Q14" s="432"/>
      <c r="S14" s="223"/>
    </row>
    <row r="15" spans="2:26" x14ac:dyDescent="0.25">
      <c r="B15" s="223"/>
      <c r="D15" s="207" t="str">
        <f>'Study Period kWh'!F82</f>
        <v>Number of Accounts</v>
      </c>
      <c r="E15" s="208">
        <f>'Study Period kWh'!H82</f>
        <v>4</v>
      </c>
      <c r="F15" s="209">
        <f>'Study Period kWh'!I82</f>
        <v>4</v>
      </c>
      <c r="G15" s="209">
        <f>'Study Period kWh'!J82</f>
        <v>4</v>
      </c>
      <c r="H15" s="209">
        <f>'Study Period kWh'!K82</f>
        <v>3.9722222222222223</v>
      </c>
      <c r="J15" s="223"/>
      <c r="L15" s="223"/>
      <c r="N15" s="433" t="s">
        <v>2</v>
      </c>
      <c r="O15" s="430" t="s">
        <v>86</v>
      </c>
      <c r="P15" s="431"/>
      <c r="Q15" s="432"/>
      <c r="S15" s="223"/>
    </row>
    <row r="16" spans="2:26" x14ac:dyDescent="0.25">
      <c r="B16" s="223"/>
      <c r="D16" s="207" t="str">
        <f>'Study Period kWh'!F83</f>
        <v>Largest</v>
      </c>
      <c r="E16" s="211">
        <f>'Study Period kWh'!H83</f>
        <v>196193.28551092028</v>
      </c>
      <c r="F16" s="212">
        <f>'Study Period kWh'!I83</f>
        <v>230756.88770053477</v>
      </c>
      <c r="G16" s="212">
        <f>'Study Period kWh'!J83</f>
        <v>233170.81818181818</v>
      </c>
      <c r="H16" s="212">
        <f>'Study Period kWh'!K83</f>
        <v>220040.33046442442</v>
      </c>
      <c r="J16" s="223"/>
      <c r="L16" s="223"/>
      <c r="N16" s="434" t="s">
        <v>3</v>
      </c>
      <c r="O16" s="433" t="s">
        <v>83</v>
      </c>
      <c r="P16" s="433" t="s">
        <v>84</v>
      </c>
      <c r="Q16" s="433" t="s">
        <v>85</v>
      </c>
      <c r="S16" s="223"/>
    </row>
    <row r="17" spans="2:24" x14ac:dyDescent="0.25">
      <c r="B17" s="223"/>
      <c r="D17" s="207" t="str">
        <f>'Study Period kWh'!F84</f>
        <v>Average</v>
      </c>
      <c r="E17" s="211">
        <f>'Study Period kWh'!H84</f>
        <v>70590.062064004582</v>
      </c>
      <c r="F17" s="212">
        <f>'Study Period kWh'!I84</f>
        <v>134796.30545432982</v>
      </c>
      <c r="G17" s="212">
        <f>'Study Period kWh'!J84</f>
        <v>155976.08241331723</v>
      </c>
      <c r="H17" s="212">
        <f>'Study Period kWh'!K84</f>
        <v>120454.1499772172</v>
      </c>
      <c r="J17" s="223"/>
      <c r="L17" s="223"/>
      <c r="N17" s="437">
        <v>2.5000000000000001E-3</v>
      </c>
      <c r="O17" s="438">
        <v>182.24401515151516</v>
      </c>
      <c r="P17" s="438">
        <v>1367.0277669632926</v>
      </c>
      <c r="Q17" s="438">
        <v>22465.064516129034</v>
      </c>
      <c r="S17" s="223"/>
    </row>
    <row r="18" spans="2:24" x14ac:dyDescent="0.25">
      <c r="B18" s="223"/>
      <c r="D18" s="207" t="str">
        <f>'Study Period kWh'!F85</f>
        <v>Median</v>
      </c>
      <c r="E18" s="211">
        <f>'Study Period kWh'!H85</f>
        <v>33275.551164215685</v>
      </c>
      <c r="F18" s="212">
        <f>'Study Period kWh'!I85</f>
        <v>125064.6854407452</v>
      </c>
      <c r="G18" s="212">
        <f>'Study Period kWh'!J85</f>
        <v>170279.54985337242</v>
      </c>
      <c r="H18" s="212">
        <f>'Study Period kWh'!K85</f>
        <v>109539.92881944444</v>
      </c>
      <c r="J18" s="223"/>
      <c r="L18" s="223"/>
      <c r="N18" s="439">
        <v>5.0000000000000001E-3</v>
      </c>
      <c r="O18" s="440">
        <v>364.48803030303031</v>
      </c>
      <c r="P18" s="440">
        <v>2734.0555339265852</v>
      </c>
      <c r="Q18" s="440">
        <v>44930.129032258068</v>
      </c>
      <c r="S18" s="223"/>
      <c r="X18" s="53"/>
    </row>
    <row r="19" spans="2:24" x14ac:dyDescent="0.25">
      <c r="B19" s="223"/>
      <c r="D19" s="215" t="str">
        <f>'Study Period kWh'!F86</f>
        <v>Minimum</v>
      </c>
      <c r="E19" s="216">
        <f>'Study Period kWh'!H86</f>
        <v>19615.860416666663</v>
      </c>
      <c r="F19" s="217">
        <f>'Study Period kWh'!I86</f>
        <v>58298.963235294112</v>
      </c>
      <c r="G19" s="217">
        <f>'Study Period kWh'!J86</f>
        <v>50174.411764705881</v>
      </c>
      <c r="H19" s="219">
        <f>'Study Period kWh'!K86</f>
        <v>42696.411805555552</v>
      </c>
      <c r="J19" s="223"/>
      <c r="L19" s="223"/>
      <c r="N19" s="439">
        <v>0.01</v>
      </c>
      <c r="O19" s="440">
        <v>728.97606060606063</v>
      </c>
      <c r="P19" s="440">
        <v>5468.1110678531704</v>
      </c>
      <c r="Q19" s="440">
        <v>89860.258064516136</v>
      </c>
      <c r="S19" s="223"/>
      <c r="X19" s="74"/>
    </row>
    <row r="20" spans="2:24" x14ac:dyDescent="0.25">
      <c r="B20" s="223"/>
      <c r="D20" s="201" t="str">
        <f>'Study Period kWh'!F87</f>
        <v>Rate 17ac</v>
      </c>
      <c r="E20" s="202">
        <f>'Study Period kWh'!H87</f>
        <v>0</v>
      </c>
      <c r="F20" s="203">
        <f>'Study Period kWh'!I87</f>
        <v>0</v>
      </c>
      <c r="G20" s="203">
        <f>'Study Period kWh'!J87</f>
        <v>0</v>
      </c>
      <c r="H20" s="203">
        <f>'Study Period kWh'!K87</f>
        <v>0</v>
      </c>
      <c r="J20" s="223"/>
      <c r="L20" s="223"/>
      <c r="N20" s="441">
        <v>1.4999999999999999E-2</v>
      </c>
      <c r="O20" s="442">
        <v>1093.4640909090908</v>
      </c>
      <c r="P20" s="442">
        <v>8202.1666017797561</v>
      </c>
      <c r="Q20" s="442">
        <v>134790.38709677418</v>
      </c>
      <c r="S20" s="223"/>
    </row>
    <row r="21" spans="2:24" ht="15.75" thickBot="1" x14ac:dyDescent="0.3">
      <c r="B21" s="223"/>
      <c r="D21" s="207" t="str">
        <f>'Study Period kWh'!F88</f>
        <v>Number of Accounts</v>
      </c>
      <c r="E21" s="208">
        <f>'Study Period kWh'!H88</f>
        <v>5</v>
      </c>
      <c r="F21" s="209">
        <f>'Study Period kWh'!I88</f>
        <v>5</v>
      </c>
      <c r="G21" s="209">
        <f>'Study Period kWh'!J88</f>
        <v>5</v>
      </c>
      <c r="H21" s="209">
        <f>'Study Period kWh'!K88</f>
        <v>4.7222222222222223</v>
      </c>
      <c r="J21" s="223"/>
      <c r="L21" s="223"/>
      <c r="S21" s="223"/>
    </row>
    <row r="22" spans="2:24" x14ac:dyDescent="0.25">
      <c r="B22" s="223"/>
      <c r="D22" s="207" t="str">
        <f>'Study Period kWh'!F89</f>
        <v>Largest</v>
      </c>
      <c r="E22" s="211">
        <f>'Study Period kWh'!H89</f>
        <v>471874.6875</v>
      </c>
      <c r="F22" s="212">
        <f>'Study Period kWh'!I89</f>
        <v>1518006.5275142316</v>
      </c>
      <c r="G22" s="212">
        <f>'Study Period kWh'!J89</f>
        <v>1640433.3203559511</v>
      </c>
      <c r="H22" s="212">
        <f>'Study Period kWh'!K89</f>
        <v>1084631.3218390804</v>
      </c>
      <c r="J22" s="223"/>
      <c r="L22" s="223"/>
      <c r="N22" s="410" t="s">
        <v>90</v>
      </c>
      <c r="O22" s="411"/>
      <c r="P22" s="411"/>
      <c r="Q22" s="412"/>
      <c r="S22" s="223"/>
    </row>
    <row r="23" spans="2:24" x14ac:dyDescent="0.25">
      <c r="B23" s="223"/>
      <c r="D23" s="207" t="str">
        <f>'Study Period kWh'!F90</f>
        <v>Average</v>
      </c>
      <c r="E23" s="211">
        <f>'Study Period kWh'!H90</f>
        <v>170593.28122832559</v>
      </c>
      <c r="F23" s="212">
        <f>'Study Period kWh'!I90</f>
        <v>771254.65359928668</v>
      </c>
      <c r="G23" s="212">
        <f>'Study Period kWh'!J90</f>
        <v>768187.48658201261</v>
      </c>
      <c r="H23" s="212">
        <f>'Study Period kWh'!K90</f>
        <v>570011.80713654158</v>
      </c>
      <c r="J23" s="223"/>
      <c r="L23" s="223"/>
      <c r="N23" s="413" t="s">
        <v>3</v>
      </c>
      <c r="O23" s="205" t="s">
        <v>86</v>
      </c>
      <c r="P23" s="206"/>
      <c r="Q23" s="414"/>
      <c r="S23" s="223"/>
    </row>
    <row r="24" spans="2:24" x14ac:dyDescent="0.25">
      <c r="B24" s="223"/>
      <c r="D24" s="207" t="str">
        <f>'Study Period kWh'!F91</f>
        <v>Median</v>
      </c>
      <c r="E24" s="211">
        <f>'Study Period kWh'!H91</f>
        <v>95454.117647058825</v>
      </c>
      <c r="F24" s="212">
        <f>'Study Period kWh'!I91</f>
        <v>437437.6470588235</v>
      </c>
      <c r="G24" s="212">
        <f>'Study Period kWh'!J91</f>
        <v>432440</v>
      </c>
      <c r="H24" s="212">
        <f>'Study Period kWh'!K91</f>
        <v>379025</v>
      </c>
      <c r="J24" s="223"/>
      <c r="L24" s="223"/>
      <c r="N24" s="415" t="s">
        <v>89</v>
      </c>
      <c r="O24" s="204" t="s">
        <v>83</v>
      </c>
      <c r="P24" s="204" t="s">
        <v>84</v>
      </c>
      <c r="Q24" s="416" t="s">
        <v>85</v>
      </c>
      <c r="S24" s="223"/>
      <c r="X24" s="53"/>
    </row>
    <row r="25" spans="2:24" x14ac:dyDescent="0.25">
      <c r="B25" s="223"/>
      <c r="D25" s="215" t="str">
        <f>'Study Period kWh'!F92</f>
        <v>Minimum</v>
      </c>
      <c r="E25" s="216">
        <f>'Study Period kWh'!H92</f>
        <v>6208</v>
      </c>
      <c r="F25" s="217">
        <f>'Study Period kWh'!I92</f>
        <v>9680.0967741935456</v>
      </c>
      <c r="G25" s="217">
        <f>'Study Period kWh'!J92</f>
        <v>91135.779220779208</v>
      </c>
      <c r="H25" s="217">
        <f>'Study Period kWh'!K92</f>
        <v>83329.114942528729</v>
      </c>
      <c r="J25" s="223"/>
      <c r="L25" s="223"/>
      <c r="N25" s="443">
        <v>2.5000000000000001E-3</v>
      </c>
      <c r="O25" s="438">
        <v>550.10082616106104</v>
      </c>
      <c r="P25" s="438">
        <v>2711.5783045977009</v>
      </c>
      <c r="Q25" s="444">
        <v>71063.041666666672</v>
      </c>
      <c r="S25" s="223"/>
      <c r="X25" s="74"/>
    </row>
    <row r="26" spans="2:24" x14ac:dyDescent="0.25">
      <c r="B26" s="223"/>
      <c r="D26" s="201" t="str">
        <f>'Study Period kWh'!F93</f>
        <v>Rate 17b</v>
      </c>
      <c r="E26" s="202">
        <f>'Study Period kWh'!H93</f>
        <v>0</v>
      </c>
      <c r="F26" s="203">
        <f>'Study Period kWh'!I93</f>
        <v>0</v>
      </c>
      <c r="G26" s="203">
        <f>'Study Period kWh'!J93</f>
        <v>0</v>
      </c>
      <c r="H26" s="203">
        <f>'Study Period kWh'!K93</f>
        <v>0</v>
      </c>
      <c r="J26" s="223"/>
      <c r="L26" s="223"/>
      <c r="N26" s="445">
        <v>5.0000000000000001E-3</v>
      </c>
      <c r="O26" s="440">
        <v>1100.2016523221221</v>
      </c>
      <c r="P26" s="440">
        <v>5423.1566091954019</v>
      </c>
      <c r="Q26" s="446">
        <v>142126.08333333334</v>
      </c>
      <c r="S26" s="223"/>
    </row>
    <row r="27" spans="2:24" x14ac:dyDescent="0.25">
      <c r="B27" s="223"/>
      <c r="D27" s="207" t="str">
        <f>'Study Period kWh'!F94</f>
        <v>Number of Accounts</v>
      </c>
      <c r="E27" s="208">
        <f>'Study Period kWh'!H94</f>
        <v>18</v>
      </c>
      <c r="F27" s="209">
        <f>'Study Period kWh'!I94</f>
        <v>24</v>
      </c>
      <c r="G27" s="209">
        <f>'Study Period kWh'!J94</f>
        <v>25</v>
      </c>
      <c r="H27" s="209">
        <f>'Study Period kWh'!K94</f>
        <v>20.444444444444443</v>
      </c>
      <c r="J27" s="223"/>
      <c r="L27" s="223"/>
      <c r="N27" s="445">
        <v>0.01</v>
      </c>
      <c r="O27" s="440">
        <v>2200.4033046442441</v>
      </c>
      <c r="P27" s="440">
        <v>10846.313218390804</v>
      </c>
      <c r="Q27" s="446">
        <v>284252.16666666669</v>
      </c>
      <c r="S27" s="223"/>
    </row>
    <row r="28" spans="2:24" ht="15.75" thickBot="1" x14ac:dyDescent="0.3">
      <c r="B28" s="223"/>
      <c r="D28" s="207" t="str">
        <f>'Study Period kWh'!F95</f>
        <v>Largest</v>
      </c>
      <c r="E28" s="211">
        <f>'Study Period kWh'!H95</f>
        <v>27798250</v>
      </c>
      <c r="F28" s="212">
        <f>'Study Period kWh'!I95</f>
        <v>30519322.580645166</v>
      </c>
      <c r="G28" s="212">
        <f>'Study Period kWh'!J95</f>
        <v>26958077.419354841</v>
      </c>
      <c r="H28" s="212">
        <f>'Study Period kWh'!K95</f>
        <v>28425216.666666668</v>
      </c>
      <c r="J28" s="223"/>
      <c r="L28" s="223"/>
      <c r="N28" s="447">
        <v>1.4999999999999999E-2</v>
      </c>
      <c r="O28" s="448">
        <v>3300.604956966366</v>
      </c>
      <c r="P28" s="448">
        <v>16269.469827586207</v>
      </c>
      <c r="Q28" s="449">
        <v>426378.25</v>
      </c>
      <c r="S28" s="223"/>
    </row>
    <row r="29" spans="2:24" x14ac:dyDescent="0.25">
      <c r="B29" s="223"/>
      <c r="D29" s="207" t="str">
        <f>'Study Period kWh'!F96</f>
        <v>Average</v>
      </c>
      <c r="E29" s="211">
        <f>'Study Period kWh'!H96</f>
        <v>4962857.4556499664</v>
      </c>
      <c r="F29" s="212">
        <f>'Study Period kWh'!I96</f>
        <v>8279589.4994058246</v>
      </c>
      <c r="G29" s="212">
        <f>'Study Period kWh'!J96</f>
        <v>7716886.1223171055</v>
      </c>
      <c r="H29" s="212">
        <f>'Study Period kWh'!K96</f>
        <v>6412849.8032715572</v>
      </c>
      <c r="J29" s="223"/>
      <c r="L29" s="223"/>
      <c r="S29" s="223"/>
    </row>
    <row r="30" spans="2:24" x14ac:dyDescent="0.25">
      <c r="B30" s="223"/>
      <c r="D30" s="207" t="str">
        <f>'Study Period kWh'!F97</f>
        <v>Median</v>
      </c>
      <c r="E30" s="211">
        <f>'Study Period kWh'!H97</f>
        <v>1396880</v>
      </c>
      <c r="F30" s="212">
        <f>'Study Period kWh'!I97</f>
        <v>5064549.8292220114</v>
      </c>
      <c r="G30" s="212">
        <f>'Study Period kWh'!J97</f>
        <v>5188451.6129032262</v>
      </c>
      <c r="H30" s="212">
        <f>'Study Period kWh'!K97</f>
        <v>4899014.6031746035</v>
      </c>
      <c r="J30" s="223"/>
      <c r="L30" s="223"/>
      <c r="M30" s="223"/>
      <c r="N30" s="223"/>
      <c r="O30" s="223"/>
      <c r="P30" s="223"/>
      <c r="Q30" s="223"/>
      <c r="R30" s="223"/>
      <c r="S30" s="223"/>
    </row>
    <row r="31" spans="2:24" x14ac:dyDescent="0.25">
      <c r="B31" s="223"/>
      <c r="D31" s="215" t="str">
        <f>'Study Period kWh'!F98</f>
        <v>Minimum</v>
      </c>
      <c r="E31" s="216">
        <f>'Study Period kWh'!H98</f>
        <v>31578.823529411766</v>
      </c>
      <c r="F31" s="217">
        <f>'Study Period kWh'!I98</f>
        <v>446327.36242884252</v>
      </c>
      <c r="G31" s="217">
        <f>'Study Period kWh'!J98</f>
        <v>698278.89237199584</v>
      </c>
      <c r="H31" s="217">
        <f>'Study Period kWh'!K98</f>
        <v>1126315.1863462208</v>
      </c>
      <c r="J31" s="223"/>
    </row>
    <row r="32" spans="2:24" x14ac:dyDescent="0.25">
      <c r="B32" s="223"/>
      <c r="D32" s="220"/>
      <c r="E32" s="210"/>
      <c r="F32" s="210"/>
      <c r="G32" s="210"/>
      <c r="H32" s="210"/>
      <c r="J32" s="223"/>
    </row>
    <row r="33" spans="2:10" x14ac:dyDescent="0.25">
      <c r="B33" s="223"/>
      <c r="C33" s="223"/>
      <c r="D33" s="223"/>
      <c r="E33" s="223"/>
      <c r="F33" s="223"/>
      <c r="G33" s="223"/>
      <c r="H33" s="223"/>
      <c r="I33" s="223"/>
      <c r="J33" s="223"/>
    </row>
    <row r="40" spans="2:10" x14ac:dyDescent="0.25">
      <c r="D40" s="221"/>
      <c r="E40" s="218"/>
      <c r="F40" s="210"/>
      <c r="G40" s="210"/>
      <c r="H40" s="2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B759C-5CAC-40A7-9BE0-D47C9EC318E8}">
  <sheetPr>
    <tabColor rgb="FF002D72"/>
  </sheetPr>
  <dimension ref="A2:BE100"/>
  <sheetViews>
    <sheetView zoomScale="70" zoomScaleNormal="70" workbookViewId="0">
      <pane xSplit="12" ySplit="12" topLeftCell="AS46" activePane="bottomRight" state="frozen"/>
      <selection pane="topRight" activeCell="N1" sqref="N1"/>
      <selection pane="bottomLeft" activeCell="A13" sqref="A13"/>
      <selection pane="bottomRight" activeCell="I4" sqref="I4"/>
    </sheetView>
  </sheetViews>
  <sheetFormatPr defaultColWidth="8.85546875" defaultRowHeight="15" x14ac:dyDescent="0.25"/>
  <cols>
    <col min="1" max="3" width="3.7109375" style="130" customWidth="1"/>
    <col min="4" max="4" width="14.42578125" style="108" bestFit="1" customWidth="1"/>
    <col min="5" max="5" width="14.28515625" style="108" bestFit="1" customWidth="1"/>
    <col min="6" max="6" width="24.85546875" style="108" bestFit="1" customWidth="1"/>
    <col min="7" max="7" width="18.5703125" style="108" bestFit="1" customWidth="1"/>
    <col min="8" max="24" width="14.7109375" style="107" customWidth="1"/>
    <col min="25" max="50" width="14.7109375" style="130" customWidth="1"/>
    <col min="51" max="52" width="3.7109375" style="130" customWidth="1"/>
    <col min="53" max="54" width="8.85546875" style="130"/>
    <col min="55" max="55" width="10.140625" style="108" bestFit="1" customWidth="1"/>
    <col min="56" max="56" width="10.7109375" style="108" bestFit="1" customWidth="1"/>
    <col min="57" max="57" width="9.5703125" style="107" bestFit="1" customWidth="1"/>
    <col min="58" max="16384" width="8.85546875" style="130"/>
  </cols>
  <sheetData>
    <row r="2" spans="2:57" s="108" customFormat="1" x14ac:dyDescent="0.25">
      <c r="D2" s="109" t="str">
        <f>"Actual Load Data For the "&amp;I5&amp;"-month period ending "&amp;TEXT(I4,"m/d/yyyy")</f>
        <v>Actual Load Data For the 36-month period ending 1/1/2020</v>
      </c>
      <c r="E2" s="109"/>
      <c r="H2" s="110" t="s">
        <v>4</v>
      </c>
      <c r="I2" s="111"/>
    </row>
    <row r="3" spans="2:57" s="108" customFormat="1" ht="15" customHeight="1" x14ac:dyDescent="0.25">
      <c r="H3" s="113" t="s">
        <v>0</v>
      </c>
      <c r="I3" s="114">
        <v>42736</v>
      </c>
    </row>
    <row r="4" spans="2:57" s="108" customFormat="1" ht="15" customHeight="1" x14ac:dyDescent="0.25">
      <c r="D4" s="107" t="s">
        <v>5</v>
      </c>
      <c r="E4" s="115">
        <v>43556</v>
      </c>
      <c r="H4" s="116" t="s">
        <v>1</v>
      </c>
      <c r="I4" s="117">
        <v>43831</v>
      </c>
      <c r="J4" s="118"/>
      <c r="T4" s="119"/>
      <c r="Z4" s="118"/>
    </row>
    <row r="5" spans="2:57" s="108" customFormat="1" ht="15" customHeight="1" x14ac:dyDescent="0.25">
      <c r="H5" s="120" t="s">
        <v>6</v>
      </c>
      <c r="I5" s="121">
        <f>DATEDIF(I3,I4,"M")</f>
        <v>36</v>
      </c>
      <c r="J5" s="112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Z5" s="118"/>
    </row>
    <row r="6" spans="2:57" s="108" customFormat="1" ht="15" customHeight="1" x14ac:dyDescent="0.25">
      <c r="L6" s="112"/>
    </row>
    <row r="7" spans="2:57" s="453" customFormat="1" ht="15" customHeight="1" x14ac:dyDescent="0.25">
      <c r="B7" s="271" t="str">
        <f>"        Actual Load Data For the "&amp;DATEDIF(I3,I4,"M")&amp;"-month period ending "&amp;TEXT(I4,"m/d/yyyy          ")</f>
        <v xml:space="preserve">        Actual Load Data For the 36-month period ending 1/1/2020          </v>
      </c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455"/>
      <c r="AZ7" s="455"/>
    </row>
    <row r="8" spans="2:57" s="453" customFormat="1" ht="15" customHeight="1" thickBot="1" x14ac:dyDescent="0.3">
      <c r="B8" s="271" t="s">
        <v>14</v>
      </c>
      <c r="C8" s="272"/>
      <c r="D8" s="272"/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72"/>
      <c r="Y8" s="272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2"/>
      <c r="AK8" s="272"/>
      <c r="AL8" s="272"/>
      <c r="AM8" s="272"/>
      <c r="AN8" s="272"/>
      <c r="AO8" s="272"/>
      <c r="AP8" s="272"/>
      <c r="AQ8" s="272"/>
      <c r="AR8" s="272"/>
      <c r="AS8" s="272"/>
      <c r="AT8" s="272"/>
      <c r="AU8" s="272"/>
      <c r="AV8" s="272"/>
      <c r="AW8" s="272"/>
      <c r="AX8" s="272"/>
      <c r="AY8" s="456"/>
      <c r="AZ8" s="455" t="s">
        <v>14</v>
      </c>
    </row>
    <row r="9" spans="2:57" s="108" customFormat="1" ht="15" customHeight="1" thickBot="1" x14ac:dyDescent="0.3">
      <c r="B9" s="264" t="s">
        <v>14</v>
      </c>
      <c r="H9" s="123" t="s">
        <v>8</v>
      </c>
      <c r="I9" s="124"/>
      <c r="J9" s="125"/>
      <c r="K9" s="126"/>
      <c r="L9" s="127" t="s">
        <v>91</v>
      </c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9"/>
      <c r="AZ9" s="264" t="s">
        <v>14</v>
      </c>
      <c r="BC9" s="464" t="s">
        <v>9</v>
      </c>
      <c r="BD9" s="465"/>
      <c r="BE9" s="111"/>
    </row>
    <row r="10" spans="2:57" ht="15" customHeight="1" x14ac:dyDescent="0.25">
      <c r="B10" s="265"/>
      <c r="F10" s="28" t="s">
        <v>7</v>
      </c>
      <c r="G10" s="400">
        <f>SUM(L12:AU45)</f>
        <v>490959362.15214133</v>
      </c>
      <c r="H10" s="131">
        <f>YEAR(I3)</f>
        <v>2017</v>
      </c>
      <c r="I10" s="132">
        <f>IF((MONTH(I3)+I4)&lt;=13,"n/a",YEAR(I3)+1)</f>
        <v>2018</v>
      </c>
      <c r="J10" s="132">
        <f>IF((MONTH(I3)+I4)&lt;=25,"n/a",YEAR(I3)+2)</f>
        <v>2019</v>
      </c>
      <c r="K10" s="457" t="s">
        <v>48</v>
      </c>
      <c r="L10" s="133">
        <f t="shared" ref="L10:Y10" si="0">IF(L11=0,0,YEAR(L11))</f>
        <v>2017</v>
      </c>
      <c r="M10" s="134">
        <f t="shared" si="0"/>
        <v>2017</v>
      </c>
      <c r="N10" s="134">
        <f t="shared" si="0"/>
        <v>2017</v>
      </c>
      <c r="O10" s="134">
        <f t="shared" si="0"/>
        <v>2017</v>
      </c>
      <c r="P10" s="134">
        <f t="shared" si="0"/>
        <v>2017</v>
      </c>
      <c r="Q10" s="134">
        <f t="shared" si="0"/>
        <v>2017</v>
      </c>
      <c r="R10" s="134">
        <f t="shared" si="0"/>
        <v>2017</v>
      </c>
      <c r="S10" s="134">
        <f t="shared" si="0"/>
        <v>2017</v>
      </c>
      <c r="T10" s="134">
        <f t="shared" si="0"/>
        <v>2017</v>
      </c>
      <c r="U10" s="134">
        <f t="shared" si="0"/>
        <v>2017</v>
      </c>
      <c r="V10" s="134">
        <f t="shared" si="0"/>
        <v>2017</v>
      </c>
      <c r="W10" s="134">
        <f t="shared" si="0"/>
        <v>2017</v>
      </c>
      <c r="X10" s="134">
        <f t="shared" si="0"/>
        <v>2018</v>
      </c>
      <c r="Y10" s="134">
        <f t="shared" si="0"/>
        <v>2018</v>
      </c>
      <c r="Z10" s="134">
        <f t="shared" ref="Z10:AX10" si="1">YEAR(Z11)</f>
        <v>2018</v>
      </c>
      <c r="AA10" s="134">
        <f t="shared" si="1"/>
        <v>2018</v>
      </c>
      <c r="AB10" s="134">
        <f t="shared" si="1"/>
        <v>2018</v>
      </c>
      <c r="AC10" s="134">
        <f t="shared" si="1"/>
        <v>2018</v>
      </c>
      <c r="AD10" s="134">
        <f t="shared" si="1"/>
        <v>2018</v>
      </c>
      <c r="AE10" s="134">
        <f t="shared" si="1"/>
        <v>2018</v>
      </c>
      <c r="AF10" s="134">
        <f t="shared" si="1"/>
        <v>2018</v>
      </c>
      <c r="AG10" s="134">
        <f t="shared" si="1"/>
        <v>2018</v>
      </c>
      <c r="AH10" s="134">
        <f t="shared" si="1"/>
        <v>2018</v>
      </c>
      <c r="AI10" s="134">
        <f t="shared" si="1"/>
        <v>2018</v>
      </c>
      <c r="AJ10" s="134">
        <f t="shared" si="1"/>
        <v>2019</v>
      </c>
      <c r="AK10" s="134">
        <f t="shared" si="1"/>
        <v>2019</v>
      </c>
      <c r="AL10" s="134">
        <f t="shared" si="1"/>
        <v>2019</v>
      </c>
      <c r="AM10" s="134">
        <f t="shared" si="1"/>
        <v>2019</v>
      </c>
      <c r="AN10" s="134">
        <f t="shared" si="1"/>
        <v>2019</v>
      </c>
      <c r="AO10" s="134">
        <f t="shared" si="1"/>
        <v>2019</v>
      </c>
      <c r="AP10" s="134">
        <f t="shared" si="1"/>
        <v>2019</v>
      </c>
      <c r="AQ10" s="134">
        <f t="shared" si="1"/>
        <v>2019</v>
      </c>
      <c r="AR10" s="134">
        <f t="shared" si="1"/>
        <v>2019</v>
      </c>
      <c r="AS10" s="134">
        <f t="shared" si="1"/>
        <v>2019</v>
      </c>
      <c r="AT10" s="134">
        <f t="shared" si="1"/>
        <v>2019</v>
      </c>
      <c r="AU10" s="134">
        <f t="shared" si="1"/>
        <v>2019</v>
      </c>
      <c r="AV10" s="134">
        <f t="shared" si="1"/>
        <v>1900</v>
      </c>
      <c r="AW10" s="134">
        <f t="shared" si="1"/>
        <v>1900</v>
      </c>
      <c r="AX10" s="135">
        <f t="shared" si="1"/>
        <v>1900</v>
      </c>
      <c r="AY10" s="136"/>
      <c r="AZ10" s="270"/>
      <c r="BA10" s="136"/>
      <c r="BB10" s="136"/>
      <c r="BC10" s="462" t="str">
        <f>G49</f>
        <v xml:space="preserve">RATE1   </v>
      </c>
      <c r="BD10" s="462" t="str">
        <f>G50</f>
        <v xml:space="preserve">RATE2   </v>
      </c>
      <c r="BE10" s="463" t="str">
        <f>G51</f>
        <v xml:space="preserve">RATE7   </v>
      </c>
    </row>
    <row r="11" spans="2:57" s="137" customFormat="1" ht="15" customHeight="1" thickBot="1" x14ac:dyDescent="0.3">
      <c r="B11" s="265"/>
      <c r="D11" s="138" t="s">
        <v>10</v>
      </c>
      <c r="E11" s="138" t="s">
        <v>11</v>
      </c>
      <c r="F11" s="138" t="s">
        <v>12</v>
      </c>
      <c r="G11" s="139" t="s">
        <v>13</v>
      </c>
      <c r="H11" s="140" t="s">
        <v>14</v>
      </c>
      <c r="I11" s="141" t="s">
        <v>14</v>
      </c>
      <c r="J11" s="141" t="s">
        <v>14</v>
      </c>
      <c r="K11" s="141"/>
      <c r="L11" s="142">
        <f>_xlfn.NUMBERVALUE(MONTH(I3)&amp;"/1"&amp;"/"&amp;YEAR(I3))</f>
        <v>42736</v>
      </c>
      <c r="M11" s="143">
        <f>IF(COLUMNS($L$11:M11)&gt;$I$5,0,EDATE($I$3,COLUMNS($L$11:L11)))</f>
        <v>42767</v>
      </c>
      <c r="N11" s="143">
        <f>IF(COLUMNS($L$11:N11)&gt;$I$5,0,EDATE($I$3,COLUMNS($L$11:M11)))</f>
        <v>42795</v>
      </c>
      <c r="O11" s="143">
        <f>IF(COLUMNS($L$11:O11)&gt;$I$5,0,EDATE($I$3,COLUMNS($L$11:N11)))</f>
        <v>42826</v>
      </c>
      <c r="P11" s="143">
        <f>IF(COLUMNS($L$11:P11)&gt;$I$5,0,EDATE($I$3,COLUMNS($L$11:O11)))</f>
        <v>42856</v>
      </c>
      <c r="Q11" s="143">
        <f>IF(COLUMNS($L$11:Q11)&gt;$I$5,0,EDATE($I$3,COLUMNS($L$11:P11)))</f>
        <v>42887</v>
      </c>
      <c r="R11" s="143">
        <f>IF(COLUMNS($L$11:R11)&gt;$I$5,0,EDATE($I$3,COLUMNS($L$11:Q11)))</f>
        <v>42917</v>
      </c>
      <c r="S11" s="143">
        <f>IF(COLUMNS($L$11:S11)&gt;$I$5,0,EDATE($I$3,COLUMNS($L$11:R11)))</f>
        <v>42948</v>
      </c>
      <c r="T11" s="143">
        <f>IF(COLUMNS($L$11:T11)&gt;$I$5,0,EDATE($I$3,COLUMNS($L$11:S11)))</f>
        <v>42979</v>
      </c>
      <c r="U11" s="143">
        <f>IF(COLUMNS($L$11:U11)&gt;$I$5,0,EDATE($I$3,COLUMNS($L$11:T11)))</f>
        <v>43009</v>
      </c>
      <c r="V11" s="143">
        <f>IF(COLUMNS($L$11:V11)&gt;$I$5,0,EDATE($I$3,COLUMNS($L$11:U11)))</f>
        <v>43040</v>
      </c>
      <c r="W11" s="143">
        <f>IF(COLUMNS($L$11:W11)&gt;$I$5,0,EDATE($I$3,COLUMNS($L$11:V11)))</f>
        <v>43070</v>
      </c>
      <c r="X11" s="143">
        <f>IF(COLUMNS($L$11:X11)&gt;$I$5,0,EDATE($I$3,COLUMNS($L$11:W11)))</f>
        <v>43101</v>
      </c>
      <c r="Y11" s="143">
        <f>IF(COLUMNS($L$11:Y11)&gt;$I$5,0,EDATE($I$3,COLUMNS($L$11:X11)))</f>
        <v>43132</v>
      </c>
      <c r="Z11" s="143">
        <f>IF(COLUMNS($L$11:Z11)&gt;$I$5,0,EDATE($I$3,COLUMNS($L$11:Y11)))</f>
        <v>43160</v>
      </c>
      <c r="AA11" s="143">
        <f>IF(COLUMNS($L$11:AA11)&gt;$I$5,0,EDATE($I$3,COLUMNS($L$11:Z11)))</f>
        <v>43191</v>
      </c>
      <c r="AB11" s="143">
        <f>IF(COLUMNS($L$11:AB11)&gt;$I$5,0,EDATE($I$3,COLUMNS($L$11:AA11)))</f>
        <v>43221</v>
      </c>
      <c r="AC11" s="143">
        <f>IF(COLUMNS($L$11:AC11)&gt;$I$5,0,EDATE($I$3,COLUMNS($L$11:AB11)))</f>
        <v>43252</v>
      </c>
      <c r="AD11" s="143">
        <f>IF(COLUMNS($L$11:AD11)&gt;$I$5,0,EDATE($I$3,COLUMNS($L$11:AC11)))</f>
        <v>43282</v>
      </c>
      <c r="AE11" s="143">
        <f>IF(COLUMNS($L$11:AE11)&gt;$I$5,0,EDATE($I$3,COLUMNS($L$11:AD11)))</f>
        <v>43313</v>
      </c>
      <c r="AF11" s="143">
        <f>IF(COLUMNS($L$11:AF11)&gt;$I$5,0,EDATE($I$3,COLUMNS($L$11:AE11)))</f>
        <v>43344</v>
      </c>
      <c r="AG11" s="143">
        <f>IF(COLUMNS($L$11:AG11)&gt;$I$5,0,EDATE($I$3,COLUMNS($L$11:AF11)))</f>
        <v>43374</v>
      </c>
      <c r="AH11" s="143">
        <f>IF(COLUMNS($L$11:AH11)&gt;$I$5,0,EDATE($I$3,COLUMNS($L$11:AG11)))</f>
        <v>43405</v>
      </c>
      <c r="AI11" s="143">
        <f>IF(COLUMNS($L$11:AI11)&gt;$I$5,0,EDATE($I$3,COLUMNS($L$11:AH11)))</f>
        <v>43435</v>
      </c>
      <c r="AJ11" s="143">
        <f>IF(COLUMNS($L$11:AJ11)&gt;$I$5,0,EDATE($I$3,COLUMNS($L$11:AI11)))</f>
        <v>43466</v>
      </c>
      <c r="AK11" s="143">
        <f>IF(COLUMNS($L$11:AK11)&gt;$I$5,0,EDATE($I$3,COLUMNS($L$11:AJ11)))</f>
        <v>43497</v>
      </c>
      <c r="AL11" s="143">
        <f>IF(COLUMNS($L$11:AL11)&gt;$I$5,0,EDATE($I$3,COLUMNS($L$11:AK11)))</f>
        <v>43525</v>
      </c>
      <c r="AM11" s="143">
        <f>IF(COLUMNS($L$11:AM11)&gt;$I$5,0,EDATE($I$3,COLUMNS($L$11:AL11)))</f>
        <v>43556</v>
      </c>
      <c r="AN11" s="143">
        <f>IF(COLUMNS($L$11:AN11)&gt;$I$5,0,EDATE($I$3,COLUMNS($L$11:AM11)))</f>
        <v>43586</v>
      </c>
      <c r="AO11" s="143">
        <f>IF(COLUMNS($L$11:AO11)&gt;$I$5,0,EDATE($I$3,COLUMNS($L$11:AN11)))</f>
        <v>43617</v>
      </c>
      <c r="AP11" s="143">
        <f>IF(COLUMNS($L$11:AP11)&gt;$I$5,0,EDATE($I$3,COLUMNS($L$11:AO11)))</f>
        <v>43647</v>
      </c>
      <c r="AQ11" s="143">
        <f>IF(COLUMNS($L$11:AQ11)&gt;$I$5,0,EDATE($I$3,COLUMNS($L$11:AP11)))</f>
        <v>43678</v>
      </c>
      <c r="AR11" s="143">
        <f>IF(COLUMNS($L$11:AR11)&gt;$I$5,0,EDATE($I$3,COLUMNS($L$11:AQ11)))</f>
        <v>43709</v>
      </c>
      <c r="AS11" s="143">
        <f>IF(COLUMNS($L$11:AS11)&gt;$I$5,0,EDATE($I$3,COLUMNS($L$11:AR11)))</f>
        <v>43739</v>
      </c>
      <c r="AT11" s="143">
        <f>IF(COLUMNS($L$11:AT11)&gt;$I$5,0,EDATE($I$3,COLUMNS($L$11:AS11)))</f>
        <v>43770</v>
      </c>
      <c r="AU11" s="143">
        <f>IF(COLUMNS($L$11:AU11)&gt;$I$5,0,EDATE($I$3,COLUMNS($L$11:AT11)))</f>
        <v>43800</v>
      </c>
      <c r="AV11" s="143">
        <f>IF(COLUMNS($L$11:AV11)&gt;$I$5,0,EDATE($I$3,COLUMNS($L$11:AU11)))</f>
        <v>0</v>
      </c>
      <c r="AW11" s="143">
        <f>IF(COLUMNS($L$11:AW11)&gt;$I$5,0,EDATE($I$3,COLUMNS($L$11:AV11)))</f>
        <v>0</v>
      </c>
      <c r="AX11" s="144">
        <f>IF(COLUMNS($L$11:AX11)&gt;$I$5,0,EDATE($I$3,COLUMNS($L$11:AW11)))</f>
        <v>0</v>
      </c>
      <c r="AZ11" s="265"/>
      <c r="BC11" s="462" t="s">
        <v>83</v>
      </c>
      <c r="BD11" s="462" t="s">
        <v>84</v>
      </c>
      <c r="BE11" s="462" t="s">
        <v>85</v>
      </c>
    </row>
    <row r="12" spans="2:57" s="137" customFormat="1" ht="15" customHeight="1" x14ac:dyDescent="0.25">
      <c r="B12" s="265"/>
      <c r="D12" s="145">
        <f>'kWh Summary All RSs'!D7</f>
        <v>42706</v>
      </c>
      <c r="E12" s="146">
        <f>'kWh Summary All RSs'!E7</f>
        <v>43800</v>
      </c>
      <c r="F12" s="147">
        <f>'kWh Summary All RSs'!F7</f>
        <v>1409791486</v>
      </c>
      <c r="G12" s="148" t="str">
        <f>'kWh Summary All RSs'!I7</f>
        <v xml:space="preserve">RATE1   </v>
      </c>
      <c r="H12" s="149">
        <f t="shared" ref="H12:J31" si="2">SUMIF($L$10:$AX$10,H$10,$L12:$AX12)</f>
        <v>196193.28551092028</v>
      </c>
      <c r="I12" s="150">
        <f t="shared" si="2"/>
        <v>230756.88770053477</v>
      </c>
      <c r="J12" s="150">
        <f t="shared" si="2"/>
        <v>233170.81818181818</v>
      </c>
      <c r="K12" s="151">
        <f t="shared" ref="K12:K45" si="3">SUM(H12:J12)</f>
        <v>660120.99139327323</v>
      </c>
      <c r="L12" s="152">
        <f t="shared" ref="L12:P21" si="4">IF(L$11=0,0,INDEX(KWH_Actual_Monthly,SUM($BC12:$BE12),MATCH(L$11,KWh_Month)))</f>
        <v>8418.8846153846152</v>
      </c>
      <c r="M12" s="153">
        <f t="shared" si="4"/>
        <v>13153.599999999999</v>
      </c>
      <c r="N12" s="153">
        <f t="shared" si="4"/>
        <v>19210.696774193548</v>
      </c>
      <c r="O12" s="153">
        <f t="shared" si="4"/>
        <v>18187.385984427139</v>
      </c>
      <c r="P12" s="153">
        <f t="shared" si="4"/>
        <v>18910.517241379312</v>
      </c>
      <c r="Q12" s="153" t="s">
        <v>58</v>
      </c>
      <c r="R12" s="153">
        <f t="shared" ref="R12:AA21" si="5">IF(R$11=0,0,INDEX(KWH_Actual_Monthly,SUM($BC12:$BE12),MATCH(R$11,KWh_Month)))</f>
        <v>18839.142857142855</v>
      </c>
      <c r="S12" s="153">
        <f t="shared" si="5"/>
        <v>19529.060606060608</v>
      </c>
      <c r="T12" s="153">
        <f t="shared" si="5"/>
        <v>19047.931034482757</v>
      </c>
      <c r="U12" s="153">
        <f t="shared" si="5"/>
        <v>19682.933333333331</v>
      </c>
      <c r="V12" s="153">
        <f t="shared" si="5"/>
        <v>19912.258064516129</v>
      </c>
      <c r="W12" s="153">
        <f t="shared" si="5"/>
        <v>21300.875</v>
      </c>
      <c r="X12" s="153">
        <f t="shared" si="5"/>
        <v>20098.430020283973</v>
      </c>
      <c r="Y12" s="153">
        <f t="shared" si="5"/>
        <v>18349.150862068964</v>
      </c>
      <c r="Z12" s="153">
        <f t="shared" si="5"/>
        <v>20362.814655172413</v>
      </c>
      <c r="AA12" s="153">
        <f t="shared" si="5"/>
        <v>18798.827586206899</v>
      </c>
      <c r="AB12" s="153">
        <f t="shared" ref="AB12:AK21" si="6">IF(AB$11=0,0,INDEX(KWH_Actual_Monthly,SUM($BC12:$BE12),MATCH(AB$11,KWh_Month)))</f>
        <v>19594.694879832812</v>
      </c>
      <c r="AC12" s="153">
        <f t="shared" si="6"/>
        <v>18290.254545454547</v>
      </c>
      <c r="AD12" s="153">
        <f t="shared" si="6"/>
        <v>19661.705747126434</v>
      </c>
      <c r="AE12" s="153">
        <f t="shared" si="6"/>
        <v>18964.191222570531</v>
      </c>
      <c r="AF12" s="153">
        <f t="shared" si="6"/>
        <v>18036.05015673981</v>
      </c>
      <c r="AG12" s="153">
        <f t="shared" si="6"/>
        <v>19470.482758620688</v>
      </c>
      <c r="AH12" s="153">
        <f t="shared" si="6"/>
        <v>19508.345872518286</v>
      </c>
      <c r="AI12" s="153">
        <f t="shared" si="6"/>
        <v>19621.939393939392</v>
      </c>
      <c r="AJ12" s="153">
        <f t="shared" si="6"/>
        <v>19732.680250783698</v>
      </c>
      <c r="AK12" s="153">
        <f t="shared" si="6"/>
        <v>19131.172413793101</v>
      </c>
      <c r="AL12" s="153">
        <f t="shared" ref="AL12:AX21" si="7">IF(AL$11=0,0,INDEX(KWH_Actual_Monthly,SUM($BC12:$BE12),MATCH(AL$11,KWh_Month)))</f>
        <v>16963.96551724138</v>
      </c>
      <c r="AM12" s="153">
        <f t="shared" si="7"/>
        <v>20417</v>
      </c>
      <c r="AN12" s="153">
        <f t="shared" si="7"/>
        <v>17226</v>
      </c>
      <c r="AO12" s="153">
        <f t="shared" si="7"/>
        <v>14478</v>
      </c>
      <c r="AP12" s="153">
        <f t="shared" si="7"/>
        <v>18272</v>
      </c>
      <c r="AQ12" s="153">
        <f t="shared" si="7"/>
        <v>20756</v>
      </c>
      <c r="AR12" s="153">
        <f t="shared" si="7"/>
        <v>19712</v>
      </c>
      <c r="AS12" s="153">
        <f t="shared" si="7"/>
        <v>21290</v>
      </c>
      <c r="AT12" s="153">
        <f t="shared" si="7"/>
        <v>22007</v>
      </c>
      <c r="AU12" s="153">
        <f t="shared" si="7"/>
        <v>23185</v>
      </c>
      <c r="AV12" s="153">
        <f t="shared" si="7"/>
        <v>0</v>
      </c>
      <c r="AW12" s="153">
        <f t="shared" si="7"/>
        <v>0</v>
      </c>
      <c r="AX12" s="154">
        <f t="shared" si="7"/>
        <v>0</v>
      </c>
      <c r="AZ12" s="265"/>
      <c r="BC12" s="458">
        <f>IF($G12=BC$10,MATCH($F12,'kWh Summary All RSs'!$F$7:$F$40,0),0)</f>
        <v>1</v>
      </c>
      <c r="BD12" s="458">
        <f>IF($G12=BD$10,MATCH($F12,'kWh Summary All RSs'!$F$7:$F$40,0),0)</f>
        <v>0</v>
      </c>
      <c r="BE12" s="458">
        <f>IF($G12=BE$10,MATCH($F12,'kWh Summary All RSs'!$F$7:$F$40,0),0)</f>
        <v>0</v>
      </c>
    </row>
    <row r="13" spans="2:57" s="137" customFormat="1" ht="15" customHeight="1" x14ac:dyDescent="0.25">
      <c r="B13" s="265"/>
      <c r="D13" s="155">
        <f>'kWh Summary All RSs'!D8</f>
        <v>42711</v>
      </c>
      <c r="E13" s="156">
        <f>'kWh Summary All RSs'!E8</f>
        <v>43800</v>
      </c>
      <c r="F13" s="157">
        <f>'kWh Summary All RSs'!F8</f>
        <v>4788200000</v>
      </c>
      <c r="G13" s="158" t="str">
        <f>'kWh Summary All RSs'!I8</f>
        <v xml:space="preserve">RATE1   </v>
      </c>
      <c r="H13" s="159">
        <f t="shared" si="2"/>
        <v>25020.754901960783</v>
      </c>
      <c r="I13" s="160">
        <f t="shared" si="2"/>
        <v>94842.766603415555</v>
      </c>
      <c r="J13" s="160">
        <f t="shared" si="2"/>
        <v>137329.6451612903</v>
      </c>
      <c r="K13" s="161">
        <f t="shared" si="3"/>
        <v>257193.16666666663</v>
      </c>
      <c r="L13" s="152">
        <f t="shared" si="4"/>
        <v>3699.9408602150534</v>
      </c>
      <c r="M13" s="153">
        <f t="shared" si="4"/>
        <v>2745.2591397849465</v>
      </c>
      <c r="N13" s="153">
        <f t="shared" si="4"/>
        <v>2100.7597701149425</v>
      </c>
      <c r="O13" s="153">
        <f t="shared" si="4"/>
        <v>1345.1724137931035</v>
      </c>
      <c r="P13" s="153">
        <f t="shared" si="4"/>
        <v>1141.5657327586207</v>
      </c>
      <c r="Q13" s="153">
        <f t="shared" ref="Q13:Q45" si="8">IF(Q$11=0,0,INDEX(KWH_Actual_Monthly,SUM($BC13:$BE13),MATCH(Q$11,KWh_Month)))</f>
        <v>1354.6354166666667</v>
      </c>
      <c r="R13" s="153">
        <f t="shared" si="5"/>
        <v>1607.4540229885058</v>
      </c>
      <c r="S13" s="153">
        <f t="shared" si="5"/>
        <v>2024.7543103448277</v>
      </c>
      <c r="T13" s="153">
        <f t="shared" si="5"/>
        <v>1292.2801724137933</v>
      </c>
      <c r="U13" s="153">
        <f t="shared" si="5"/>
        <v>1644.8275862068965</v>
      </c>
      <c r="V13" s="153">
        <f t="shared" si="5"/>
        <v>2626.1348884381337</v>
      </c>
      <c r="W13" s="153">
        <f t="shared" si="5"/>
        <v>3437.9705882352941</v>
      </c>
      <c r="X13" s="153">
        <f t="shared" si="5"/>
        <v>2944.6186612576066</v>
      </c>
      <c r="Y13" s="153">
        <f t="shared" si="5"/>
        <v>2575.9931034482756</v>
      </c>
      <c r="Z13" s="153">
        <f t="shared" si="5"/>
        <v>2969.1225806451612</v>
      </c>
      <c r="AA13" s="153">
        <f t="shared" si="5"/>
        <v>4232.9877641824251</v>
      </c>
      <c r="AB13" s="153">
        <f t="shared" si="6"/>
        <v>6866.1090100111232</v>
      </c>
      <c r="AC13" s="153">
        <f t="shared" si="6"/>
        <v>8090.6743951612898</v>
      </c>
      <c r="AD13" s="153">
        <f t="shared" si="6"/>
        <v>9675.3545258620688</v>
      </c>
      <c r="AE13" s="153">
        <f t="shared" si="6"/>
        <v>9844.9153605015672</v>
      </c>
      <c r="AF13" s="153">
        <f t="shared" si="6"/>
        <v>8798.4639498432589</v>
      </c>
      <c r="AG13" s="153">
        <f t="shared" si="6"/>
        <v>9358.3448275862065</v>
      </c>
      <c r="AH13" s="153">
        <f t="shared" si="6"/>
        <v>13828.463949843261</v>
      </c>
      <c r="AI13" s="153">
        <f t="shared" si="6"/>
        <v>15657.718475073314</v>
      </c>
      <c r="AJ13" s="153">
        <f t="shared" si="6"/>
        <v>14570.817575083425</v>
      </c>
      <c r="AK13" s="153">
        <f t="shared" si="6"/>
        <v>12726.988876529478</v>
      </c>
      <c r="AL13" s="153">
        <f t="shared" si="7"/>
        <v>11764.83870967742</v>
      </c>
      <c r="AM13" s="153">
        <f t="shared" si="7"/>
        <v>10127</v>
      </c>
      <c r="AN13" s="153">
        <f t="shared" si="7"/>
        <v>10936</v>
      </c>
      <c r="AO13" s="153">
        <f t="shared" si="7"/>
        <v>11057</v>
      </c>
      <c r="AP13" s="153">
        <f t="shared" si="7"/>
        <v>10929</v>
      </c>
      <c r="AQ13" s="153">
        <f t="shared" si="7"/>
        <v>11869</v>
      </c>
      <c r="AR13" s="153">
        <f t="shared" si="7"/>
        <v>10018</v>
      </c>
      <c r="AS13" s="153">
        <f t="shared" si="7"/>
        <v>10739</v>
      </c>
      <c r="AT13" s="153">
        <f t="shared" si="7"/>
        <v>11094</v>
      </c>
      <c r="AU13" s="153">
        <f t="shared" si="7"/>
        <v>11498</v>
      </c>
      <c r="AV13" s="153">
        <f t="shared" si="7"/>
        <v>0</v>
      </c>
      <c r="AW13" s="153">
        <f t="shared" si="7"/>
        <v>0</v>
      </c>
      <c r="AX13" s="154">
        <f t="shared" si="7"/>
        <v>0</v>
      </c>
      <c r="AZ13" s="265"/>
      <c r="BC13" s="459">
        <f>IF($G13=BC$10,MATCH($F13,'kWh Summary All RSs'!$F$7:$F$40,0),0)</f>
        <v>2</v>
      </c>
      <c r="BD13" s="459">
        <f>IF($G13=BD$10,MATCH($F13,'kWh Summary All RSs'!$F$7:$F$40,0),0)</f>
        <v>0</v>
      </c>
      <c r="BE13" s="459">
        <f>IF($G13=BE$10,MATCH($F13,'kWh Summary All RSs'!$F$7:$F$40,0),0)</f>
        <v>0</v>
      </c>
    </row>
    <row r="14" spans="2:57" s="137" customFormat="1" ht="15" customHeight="1" x14ac:dyDescent="0.25">
      <c r="B14" s="265"/>
      <c r="D14" s="155">
        <f>'kWh Summary All RSs'!D9</f>
        <v>42713</v>
      </c>
      <c r="E14" s="156">
        <f>'kWh Summary All RSs'!E9</f>
        <v>43800</v>
      </c>
      <c r="F14" s="157">
        <f>'kWh Summary All RSs'!F9</f>
        <v>7306100000</v>
      </c>
      <c r="G14" s="158" t="str">
        <f>'kWh Summary All RSs'!I9</f>
        <v xml:space="preserve">RATE1   </v>
      </c>
      <c r="H14" s="159">
        <f t="shared" si="2"/>
        <v>41530.347426470587</v>
      </c>
      <c r="I14" s="160">
        <f t="shared" si="2"/>
        <v>155286.60427807487</v>
      </c>
      <c r="J14" s="160">
        <f t="shared" si="2"/>
        <v>203229.45454545453</v>
      </c>
      <c r="K14" s="161">
        <f t="shared" si="3"/>
        <v>400046.40625</v>
      </c>
      <c r="L14" s="152">
        <f t="shared" si="4"/>
        <v>6399.0959051724139</v>
      </c>
      <c r="M14" s="153">
        <f t="shared" si="4"/>
        <v>4802.4103448275864</v>
      </c>
      <c r="N14" s="153">
        <f t="shared" si="4"/>
        <v>3624.9322580645162</v>
      </c>
      <c r="O14" s="153">
        <f t="shared" si="4"/>
        <v>2065.588431590656</v>
      </c>
      <c r="P14" s="153">
        <f t="shared" si="4"/>
        <v>2289.8126436781608</v>
      </c>
      <c r="Q14" s="153">
        <f t="shared" si="8"/>
        <v>2419.8166666666666</v>
      </c>
      <c r="R14" s="153">
        <f t="shared" si="5"/>
        <v>2353.9913793103451</v>
      </c>
      <c r="S14" s="153">
        <f t="shared" si="5"/>
        <v>2292.7586206896553</v>
      </c>
      <c r="T14" s="153">
        <f t="shared" si="5"/>
        <v>2383.7142857142858</v>
      </c>
      <c r="U14" s="153">
        <f t="shared" si="5"/>
        <v>2235.7373271889401</v>
      </c>
      <c r="V14" s="153">
        <f t="shared" si="5"/>
        <v>3912.9233870967741</v>
      </c>
      <c r="W14" s="153">
        <f t="shared" si="5"/>
        <v>6749.5661764705883</v>
      </c>
      <c r="X14" s="153">
        <f t="shared" si="5"/>
        <v>7736.851926977688</v>
      </c>
      <c r="Y14" s="153">
        <f t="shared" si="5"/>
        <v>7754.2068965517246</v>
      </c>
      <c r="Z14" s="153">
        <f t="shared" si="5"/>
        <v>11225.931034482757</v>
      </c>
      <c r="AA14" s="153">
        <f t="shared" si="5"/>
        <v>13071.402298850573</v>
      </c>
      <c r="AB14" s="153">
        <f t="shared" si="6"/>
        <v>13248.885416666666</v>
      </c>
      <c r="AC14" s="153">
        <f t="shared" si="6"/>
        <v>13808.314583333333</v>
      </c>
      <c r="AD14" s="153">
        <f t="shared" si="6"/>
        <v>15963.363218390805</v>
      </c>
      <c r="AE14" s="153">
        <f t="shared" si="6"/>
        <v>15047.436781609194</v>
      </c>
      <c r="AF14" s="153">
        <f t="shared" si="6"/>
        <v>13246.977011494255</v>
      </c>
      <c r="AG14" s="153">
        <f t="shared" si="6"/>
        <v>13233.344827586207</v>
      </c>
      <c r="AH14" s="153">
        <f t="shared" si="6"/>
        <v>15401.67816091954</v>
      </c>
      <c r="AI14" s="153">
        <f t="shared" si="6"/>
        <v>15548.212121212124</v>
      </c>
      <c r="AJ14" s="153">
        <f t="shared" si="6"/>
        <v>15612.040752351097</v>
      </c>
      <c r="AK14" s="153">
        <f t="shared" si="6"/>
        <v>15978.827586206895</v>
      </c>
      <c r="AL14" s="153">
        <f t="shared" si="7"/>
        <v>19249.586206896551</v>
      </c>
      <c r="AM14" s="153">
        <f t="shared" si="7"/>
        <v>17998</v>
      </c>
      <c r="AN14" s="153">
        <f t="shared" si="7"/>
        <v>18786</v>
      </c>
      <c r="AO14" s="153">
        <f t="shared" si="7"/>
        <v>18461</v>
      </c>
      <c r="AP14" s="153">
        <f t="shared" si="7"/>
        <v>14302</v>
      </c>
      <c r="AQ14" s="153">
        <f t="shared" si="7"/>
        <v>17204</v>
      </c>
      <c r="AR14" s="153">
        <f t="shared" si="7"/>
        <v>16233</v>
      </c>
      <c r="AS14" s="153">
        <f t="shared" si="7"/>
        <v>14441</v>
      </c>
      <c r="AT14" s="153">
        <f t="shared" si="7"/>
        <v>17235</v>
      </c>
      <c r="AU14" s="153">
        <f t="shared" si="7"/>
        <v>17729</v>
      </c>
      <c r="AV14" s="153">
        <f t="shared" si="7"/>
        <v>0</v>
      </c>
      <c r="AW14" s="153">
        <f t="shared" si="7"/>
        <v>0</v>
      </c>
      <c r="AX14" s="154">
        <f t="shared" si="7"/>
        <v>0</v>
      </c>
      <c r="AZ14" s="265"/>
      <c r="BC14" s="459">
        <f>IF($G14=BC$10,MATCH($F14,'kWh Summary All RSs'!$F$7:$F$40,0),0)</f>
        <v>3</v>
      </c>
      <c r="BD14" s="459">
        <f>IF($G14=BD$10,MATCH($F14,'kWh Summary All RSs'!$F$7:$F$40,0),0)</f>
        <v>0</v>
      </c>
      <c r="BE14" s="459">
        <f>IF($G14=BE$10,MATCH($F14,'kWh Summary All RSs'!$F$7:$F$40,0),0)</f>
        <v>0</v>
      </c>
    </row>
    <row r="15" spans="2:57" s="137" customFormat="1" ht="15" customHeight="1" x14ac:dyDescent="0.25">
      <c r="B15" s="265"/>
      <c r="D15" s="155">
        <f>'kWh Summary All RSs'!D10</f>
        <v>42723</v>
      </c>
      <c r="E15" s="156">
        <f>'kWh Summary All RSs'!E10</f>
        <v>43800</v>
      </c>
      <c r="F15" s="157">
        <f>'kWh Summary All RSs'!F10</f>
        <v>7455100000</v>
      </c>
      <c r="G15" s="158" t="str">
        <f>'kWh Summary All RSs'!I10</f>
        <v xml:space="preserve">RATE1   </v>
      </c>
      <c r="H15" s="159">
        <f t="shared" si="2"/>
        <v>19615.860416666663</v>
      </c>
      <c r="I15" s="160">
        <f t="shared" si="2"/>
        <v>58298.963235294112</v>
      </c>
      <c r="J15" s="160">
        <f t="shared" si="2"/>
        <v>50174.411764705881</v>
      </c>
      <c r="K15" s="161">
        <f t="shared" si="3"/>
        <v>128089.23541666666</v>
      </c>
      <c r="L15" s="152">
        <f t="shared" si="4"/>
        <v>3803.6</v>
      </c>
      <c r="M15" s="153">
        <f t="shared" si="4"/>
        <v>3119.0454545454545</v>
      </c>
      <c r="N15" s="153">
        <f t="shared" si="4"/>
        <v>1622.1097178683385</v>
      </c>
      <c r="O15" s="153">
        <f t="shared" si="4"/>
        <v>1078.7931034482758</v>
      </c>
      <c r="P15" s="153">
        <f t="shared" si="4"/>
        <v>1211.0517241379312</v>
      </c>
      <c r="Q15" s="153">
        <f t="shared" si="8"/>
        <v>1068.96875</v>
      </c>
      <c r="R15" s="153">
        <f t="shared" si="5"/>
        <v>612.5797101449275</v>
      </c>
      <c r="S15" s="153">
        <f t="shared" si="5"/>
        <v>831.695652173913</v>
      </c>
      <c r="T15" s="153">
        <f t="shared" si="5"/>
        <v>810.6018306636156</v>
      </c>
      <c r="U15" s="153">
        <f t="shared" si="5"/>
        <v>1185.522807017544</v>
      </c>
      <c r="V15" s="153">
        <f t="shared" si="5"/>
        <v>1861.4181818181819</v>
      </c>
      <c r="W15" s="153">
        <f t="shared" si="5"/>
        <v>2410.473484848485</v>
      </c>
      <c r="X15" s="153">
        <f t="shared" si="5"/>
        <v>2456.875</v>
      </c>
      <c r="Y15" s="153">
        <f t="shared" si="5"/>
        <v>2059.4655172413795</v>
      </c>
      <c r="Z15" s="153">
        <f t="shared" si="5"/>
        <v>1974.5862068965516</v>
      </c>
      <c r="AA15" s="153">
        <f t="shared" si="5"/>
        <v>1125.7241379310344</v>
      </c>
      <c r="AB15" s="153">
        <f t="shared" si="6"/>
        <v>1375.3908045977009</v>
      </c>
      <c r="AC15" s="153">
        <f t="shared" si="6"/>
        <v>4659.166666666667</v>
      </c>
      <c r="AD15" s="153">
        <f t="shared" si="6"/>
        <v>9245.7150537634407</v>
      </c>
      <c r="AE15" s="153">
        <f t="shared" si="6"/>
        <v>9310.3607038123155</v>
      </c>
      <c r="AF15" s="153">
        <f t="shared" si="6"/>
        <v>8492.2488038277515</v>
      </c>
      <c r="AG15" s="153">
        <f t="shared" si="6"/>
        <v>6262.7796052631575</v>
      </c>
      <c r="AH15" s="153">
        <f t="shared" si="6"/>
        <v>3512.229166666667</v>
      </c>
      <c r="AI15" s="153">
        <f t="shared" si="6"/>
        <v>7824.4215686274511</v>
      </c>
      <c r="AJ15" s="153">
        <f t="shared" si="6"/>
        <v>12279.066937119676</v>
      </c>
      <c r="AK15" s="153">
        <f t="shared" si="6"/>
        <v>9564.9162561576341</v>
      </c>
      <c r="AL15" s="153">
        <f t="shared" si="7"/>
        <v>10121.428571428571</v>
      </c>
      <c r="AM15" s="153">
        <f t="shared" si="7"/>
        <v>9309</v>
      </c>
      <c r="AN15" s="153">
        <f t="shared" si="7"/>
        <v>2569</v>
      </c>
      <c r="AO15" s="153">
        <f t="shared" si="7"/>
        <v>399</v>
      </c>
      <c r="AP15" s="153">
        <f t="shared" si="7"/>
        <v>493</v>
      </c>
      <c r="AQ15" s="153">
        <f t="shared" si="7"/>
        <v>513</v>
      </c>
      <c r="AR15" s="153">
        <f t="shared" si="7"/>
        <v>377</v>
      </c>
      <c r="AS15" s="153">
        <f t="shared" si="7"/>
        <v>875</v>
      </c>
      <c r="AT15" s="153">
        <f t="shared" si="7"/>
        <v>1667</v>
      </c>
      <c r="AU15" s="153">
        <f t="shared" si="7"/>
        <v>2006.9999999999998</v>
      </c>
      <c r="AV15" s="153">
        <f t="shared" si="7"/>
        <v>0</v>
      </c>
      <c r="AW15" s="153">
        <f t="shared" si="7"/>
        <v>0</v>
      </c>
      <c r="AX15" s="154">
        <f t="shared" si="7"/>
        <v>0</v>
      </c>
      <c r="AZ15" s="265"/>
      <c r="BC15" s="459">
        <f>IF($G15=BC$10,MATCH($F15,'kWh Summary All RSs'!$F$7:$F$40,0),0)</f>
        <v>4</v>
      </c>
      <c r="BD15" s="459">
        <f>IF($G15=BD$10,MATCH($F15,'kWh Summary All RSs'!$F$7:$F$40,0),0)</f>
        <v>0</v>
      </c>
      <c r="BE15" s="459">
        <f>IF($G15=BE$10,MATCH($F15,'kWh Summary All RSs'!$F$7:$F$40,0),0)</f>
        <v>0</v>
      </c>
    </row>
    <row r="16" spans="2:57" s="137" customFormat="1" ht="15" customHeight="1" x14ac:dyDescent="0.25">
      <c r="B16" s="265"/>
      <c r="D16" s="155">
        <f>'kWh Summary All RSs'!D11</f>
        <v>42731</v>
      </c>
      <c r="E16" s="156">
        <f>'kWh Summary All RSs'!E11</f>
        <v>43800</v>
      </c>
      <c r="F16" s="157">
        <f>'kWh Summary All RSs'!F11</f>
        <v>3848100000</v>
      </c>
      <c r="G16" s="158" t="str">
        <f>'kWh Summary All RSs'!I11</f>
        <v xml:space="preserve">RATE2   </v>
      </c>
      <c r="H16" s="159">
        <f t="shared" si="2"/>
        <v>12232.248053392657</v>
      </c>
      <c r="I16" s="160">
        <f t="shared" si="2"/>
        <v>9680.0967741935456</v>
      </c>
      <c r="J16" s="160">
        <f t="shared" si="2"/>
        <v>228075</v>
      </c>
      <c r="K16" s="161">
        <f t="shared" si="3"/>
        <v>249987.3448275862</v>
      </c>
      <c r="L16" s="152">
        <f t="shared" si="4"/>
        <v>1301.6478578892372</v>
      </c>
      <c r="M16" s="153">
        <f t="shared" si="4"/>
        <v>1121.6969696969697</v>
      </c>
      <c r="N16" s="153">
        <f t="shared" si="4"/>
        <v>1674.2413793103449</v>
      </c>
      <c r="O16" s="153">
        <f t="shared" si="4"/>
        <v>1094.4827586206898</v>
      </c>
      <c r="P16" s="153">
        <f t="shared" si="4"/>
        <v>818.00919540229881</v>
      </c>
      <c r="Q16" s="153">
        <f t="shared" si="8"/>
        <v>599.01666666666665</v>
      </c>
      <c r="R16" s="153">
        <f t="shared" si="5"/>
        <v>553.59482758620686</v>
      </c>
      <c r="S16" s="153">
        <f t="shared" si="5"/>
        <v>389.95517241379309</v>
      </c>
      <c r="T16" s="153">
        <f t="shared" si="5"/>
        <v>540.34516129032249</v>
      </c>
      <c r="U16" s="153">
        <f t="shared" si="5"/>
        <v>1097.7548387096774</v>
      </c>
      <c r="V16" s="153">
        <f t="shared" si="5"/>
        <v>1809.7470588235292</v>
      </c>
      <c r="W16" s="153">
        <f t="shared" si="5"/>
        <v>1231.7561669829222</v>
      </c>
      <c r="X16" s="153">
        <f t="shared" si="5"/>
        <v>2610.9717741935483</v>
      </c>
      <c r="Y16" s="153">
        <f t="shared" si="5"/>
        <v>1745.9870689655172</v>
      </c>
      <c r="Z16" s="153">
        <f t="shared" si="5"/>
        <v>1937.7586206896551</v>
      </c>
      <c r="AA16" s="153">
        <f t="shared" si="5"/>
        <v>1647.8944618599792</v>
      </c>
      <c r="AB16" s="153">
        <f t="shared" si="6"/>
        <v>886.82967607105536</v>
      </c>
      <c r="AC16" s="153">
        <f t="shared" si="6"/>
        <v>102.98850574712642</v>
      </c>
      <c r="AD16" s="153">
        <f t="shared" si="6"/>
        <v>102.79569892473118</v>
      </c>
      <c r="AE16" s="153">
        <f t="shared" si="6"/>
        <v>130.77572964669739</v>
      </c>
      <c r="AF16" s="153">
        <f t="shared" si="6"/>
        <v>150.0952380952381</v>
      </c>
      <c r="AG16" s="153">
        <f t="shared" si="6"/>
        <v>0</v>
      </c>
      <c r="AH16" s="153">
        <f t="shared" si="6"/>
        <v>36.4</v>
      </c>
      <c r="AI16" s="153">
        <f t="shared" si="6"/>
        <v>327.59999999999997</v>
      </c>
      <c r="AJ16" s="153">
        <f t="shared" si="6"/>
        <v>0</v>
      </c>
      <c r="AK16" s="153">
        <f t="shared" si="6"/>
        <v>103.82142857142857</v>
      </c>
      <c r="AL16" s="153">
        <f t="shared" si="7"/>
        <v>4972.1785714285716</v>
      </c>
      <c r="AM16" s="153">
        <f t="shared" si="7"/>
        <v>22544</v>
      </c>
      <c r="AN16" s="153">
        <f t="shared" si="7"/>
        <v>25949</v>
      </c>
      <c r="AO16" s="153">
        <f t="shared" si="7"/>
        <v>23407</v>
      </c>
      <c r="AP16" s="153">
        <f t="shared" si="7"/>
        <v>25573</v>
      </c>
      <c r="AQ16" s="153">
        <f t="shared" si="7"/>
        <v>25639</v>
      </c>
      <c r="AR16" s="153">
        <f t="shared" si="7"/>
        <v>23288</v>
      </c>
      <c r="AS16" s="153">
        <f t="shared" si="7"/>
        <v>25333</v>
      </c>
      <c r="AT16" s="153">
        <f t="shared" si="7"/>
        <v>25563</v>
      </c>
      <c r="AU16" s="153">
        <f t="shared" si="7"/>
        <v>25703</v>
      </c>
      <c r="AV16" s="153">
        <f t="shared" si="7"/>
        <v>0</v>
      </c>
      <c r="AW16" s="153">
        <f t="shared" si="7"/>
        <v>0</v>
      </c>
      <c r="AX16" s="154">
        <f t="shared" si="7"/>
        <v>0</v>
      </c>
      <c r="AZ16" s="265"/>
      <c r="BC16" s="460">
        <f>IF($G16=BC$10,MATCH($F16,'kWh Summary All RSs'!$F$7:$F$40,0),0)</f>
        <v>0</v>
      </c>
      <c r="BD16" s="459">
        <f>IF($G16=BD$10,MATCH($F16,'kWh Summary All RSs'!$F$7:$F$40,0),0)</f>
        <v>5</v>
      </c>
      <c r="BE16" s="459">
        <f>IF($G16=BE$10,MATCH($F16,'kWh Summary All RSs'!$F$7:$F$40,0),0)</f>
        <v>0</v>
      </c>
    </row>
    <row r="17" spans="2:57" s="137" customFormat="1" ht="15" customHeight="1" x14ac:dyDescent="0.25">
      <c r="B17" s="265"/>
      <c r="D17" s="155">
        <f>'kWh Summary All RSs'!D12</f>
        <v>42724</v>
      </c>
      <c r="E17" s="156">
        <f>'kWh Summary All RSs'!E12</f>
        <v>43800</v>
      </c>
      <c r="F17" s="157">
        <f>'kWh Summary All RSs'!F12</f>
        <v>8902134469</v>
      </c>
      <c r="G17" s="158" t="str">
        <f>'kWh Summary All RSs'!I12</f>
        <v xml:space="preserve">RATE2   </v>
      </c>
      <c r="H17" s="159">
        <f t="shared" si="2"/>
        <v>6208</v>
      </c>
      <c r="I17" s="160">
        <f t="shared" si="2"/>
        <v>1490512.8205128205</v>
      </c>
      <c r="J17" s="160">
        <f t="shared" si="2"/>
        <v>1448853.3333333333</v>
      </c>
      <c r="K17" s="161">
        <f t="shared" si="3"/>
        <v>2945574.153846154</v>
      </c>
      <c r="L17" s="152">
        <f t="shared" si="4"/>
        <v>467.31034482758616</v>
      </c>
      <c r="M17" s="153">
        <f t="shared" si="4"/>
        <v>400.68965517241378</v>
      </c>
      <c r="N17" s="153">
        <f t="shared" si="4"/>
        <v>451.72413793103448</v>
      </c>
      <c r="O17" s="153">
        <f t="shared" si="4"/>
        <v>380.68965517241378</v>
      </c>
      <c r="P17" s="153">
        <f t="shared" si="4"/>
        <v>327.58620689655174</v>
      </c>
      <c r="Q17" s="153">
        <f t="shared" si="8"/>
        <v>308</v>
      </c>
      <c r="R17" s="153">
        <f t="shared" si="5"/>
        <v>335.44827586206895</v>
      </c>
      <c r="S17" s="153">
        <f t="shared" si="5"/>
        <v>326.55172413793105</v>
      </c>
      <c r="T17" s="153">
        <f t="shared" si="5"/>
        <v>385.17241379310349</v>
      </c>
      <c r="U17" s="153">
        <f t="shared" si="5"/>
        <v>544.82758620689651</v>
      </c>
      <c r="V17" s="153">
        <f t="shared" si="5"/>
        <v>1189.090909090909</v>
      </c>
      <c r="W17" s="153">
        <f t="shared" si="5"/>
        <v>1090.909090909091</v>
      </c>
      <c r="X17" s="153">
        <f t="shared" si="5"/>
        <v>17872.820512820512</v>
      </c>
      <c r="Y17" s="153">
        <f t="shared" si="5"/>
        <v>10442.298850574713</v>
      </c>
      <c r="Z17" s="153">
        <f t="shared" si="5"/>
        <v>11944.827586206897</v>
      </c>
      <c r="AA17" s="153">
        <f t="shared" si="5"/>
        <v>76543.626251390437</v>
      </c>
      <c r="AB17" s="153">
        <f t="shared" si="6"/>
        <v>193300.6451612903</v>
      </c>
      <c r="AC17" s="153">
        <f t="shared" si="6"/>
        <v>187616.93548387097</v>
      </c>
      <c r="AD17" s="153">
        <f t="shared" si="6"/>
        <v>185098.79310344829</v>
      </c>
      <c r="AE17" s="153">
        <f t="shared" si="6"/>
        <v>172840.4004449388</v>
      </c>
      <c r="AF17" s="153">
        <f t="shared" si="6"/>
        <v>165316.12903225806</v>
      </c>
      <c r="AG17" s="153">
        <f t="shared" si="6"/>
        <v>159936.34408602151</v>
      </c>
      <c r="AH17" s="153">
        <f t="shared" si="6"/>
        <v>149840</v>
      </c>
      <c r="AI17" s="153">
        <f t="shared" si="6"/>
        <v>159760</v>
      </c>
      <c r="AJ17" s="153">
        <f t="shared" si="6"/>
        <v>166221.33333333331</v>
      </c>
      <c r="AK17" s="153">
        <f t="shared" si="6"/>
        <v>147452</v>
      </c>
      <c r="AL17" s="153">
        <f t="shared" si="7"/>
        <v>149180</v>
      </c>
      <c r="AM17" s="153">
        <f t="shared" si="7"/>
        <v>42960</v>
      </c>
      <c r="AN17" s="153">
        <f t="shared" si="7"/>
        <v>2160</v>
      </c>
      <c r="AO17" s="153">
        <f t="shared" si="7"/>
        <v>80240</v>
      </c>
      <c r="AP17" s="153">
        <f t="shared" si="7"/>
        <v>154080</v>
      </c>
      <c r="AQ17" s="153">
        <f t="shared" si="7"/>
        <v>147520</v>
      </c>
      <c r="AR17" s="153">
        <f t="shared" si="7"/>
        <v>134400</v>
      </c>
      <c r="AS17" s="153">
        <f t="shared" si="7"/>
        <v>147120</v>
      </c>
      <c r="AT17" s="153">
        <f t="shared" si="7"/>
        <v>138960</v>
      </c>
      <c r="AU17" s="153">
        <f t="shared" si="7"/>
        <v>138560</v>
      </c>
      <c r="AV17" s="153">
        <f t="shared" si="7"/>
        <v>0</v>
      </c>
      <c r="AW17" s="153">
        <f t="shared" si="7"/>
        <v>0</v>
      </c>
      <c r="AX17" s="154">
        <f t="shared" si="7"/>
        <v>0</v>
      </c>
      <c r="AZ17" s="265"/>
      <c r="BC17" s="460">
        <f>IF($G17=BC$10,MATCH($F17,'kWh Summary All RSs'!$F$7:$F$40,0),0)</f>
        <v>0</v>
      </c>
      <c r="BD17" s="459">
        <f>IF($G17=BD$10,MATCH($F17,'kWh Summary All RSs'!$F$7:$F$40,0),0)</f>
        <v>6</v>
      </c>
      <c r="BE17" s="459">
        <f>IF($G17=BE$10,MATCH($F17,'kWh Summary All RSs'!$F$7:$F$40,0),0)</f>
        <v>0</v>
      </c>
    </row>
    <row r="18" spans="2:57" s="137" customFormat="1" ht="15" customHeight="1" x14ac:dyDescent="0.25">
      <c r="B18" s="265"/>
      <c r="D18" s="155">
        <f>'kWh Summary All RSs'!D13</f>
        <v>42723</v>
      </c>
      <c r="E18" s="156">
        <f>'kWh Summary All RSs'!E13</f>
        <v>43577</v>
      </c>
      <c r="F18" s="157">
        <f>'kWh Summary All RSs'!F13</f>
        <v>3314839253</v>
      </c>
      <c r="G18" s="158" t="str">
        <f>'kWh Summary All RSs'!I13</f>
        <v xml:space="preserve">RATE2   </v>
      </c>
      <c r="H18" s="159">
        <f t="shared" si="2"/>
        <v>471874.6875</v>
      </c>
      <c r="I18" s="160">
        <f t="shared" si="2"/>
        <v>400636.17613636365</v>
      </c>
      <c r="J18" s="160">
        <f t="shared" si="2"/>
        <v>91135.779220779208</v>
      </c>
      <c r="K18" s="161">
        <f t="shared" si="3"/>
        <v>963646.64285714284</v>
      </c>
      <c r="L18" s="152">
        <f t="shared" si="4"/>
        <v>42406</v>
      </c>
      <c r="M18" s="153">
        <f t="shared" si="4"/>
        <v>37911.015151515152</v>
      </c>
      <c r="N18" s="153">
        <f t="shared" si="4"/>
        <v>41821.657262277949</v>
      </c>
      <c r="O18" s="153">
        <f t="shared" si="4"/>
        <v>40841.827586206899</v>
      </c>
      <c r="P18" s="153">
        <f t="shared" si="4"/>
        <v>40779.5</v>
      </c>
      <c r="Q18" s="153">
        <f t="shared" si="8"/>
        <v>36677.78125</v>
      </c>
      <c r="R18" s="153">
        <f t="shared" si="5"/>
        <v>36277.615301724138</v>
      </c>
      <c r="S18" s="153">
        <f t="shared" si="5"/>
        <v>37280.236781609201</v>
      </c>
      <c r="T18" s="153">
        <f t="shared" si="5"/>
        <v>39262.415053763441</v>
      </c>
      <c r="U18" s="153">
        <f t="shared" si="5"/>
        <v>39776.918279569887</v>
      </c>
      <c r="V18" s="153">
        <f t="shared" si="5"/>
        <v>37889.927272727276</v>
      </c>
      <c r="W18" s="153">
        <f t="shared" si="5"/>
        <v>40949.793560606064</v>
      </c>
      <c r="X18" s="153">
        <f t="shared" si="5"/>
        <v>40717.0625</v>
      </c>
      <c r="Y18" s="153">
        <f t="shared" si="5"/>
        <v>37013.439655172413</v>
      </c>
      <c r="Z18" s="153">
        <f t="shared" si="5"/>
        <v>40917.655172413797</v>
      </c>
      <c r="AA18" s="153">
        <f t="shared" si="5"/>
        <v>38471.586206896551</v>
      </c>
      <c r="AB18" s="153">
        <f t="shared" si="6"/>
        <v>39562.644723092999</v>
      </c>
      <c r="AC18" s="153">
        <f t="shared" si="6"/>
        <v>34219.890909090915</v>
      </c>
      <c r="AD18" s="153">
        <f t="shared" si="6"/>
        <v>27605.791397849462</v>
      </c>
      <c r="AE18" s="153">
        <f t="shared" si="6"/>
        <v>27211.83870967742</v>
      </c>
      <c r="AF18" s="153">
        <f t="shared" si="6"/>
        <v>27568.454949944382</v>
      </c>
      <c r="AG18" s="153">
        <f t="shared" si="6"/>
        <v>30539.854525862069</v>
      </c>
      <c r="AH18" s="153">
        <f t="shared" si="6"/>
        <v>28209.360416666666</v>
      </c>
      <c r="AI18" s="153">
        <f t="shared" si="6"/>
        <v>28598.59696969697</v>
      </c>
      <c r="AJ18" s="153">
        <f t="shared" si="6"/>
        <v>27288.636363636364</v>
      </c>
      <c r="AK18" s="153">
        <f t="shared" si="6"/>
        <v>21753.428571428572</v>
      </c>
      <c r="AL18" s="153">
        <f t="shared" si="7"/>
        <v>21096.571428571428</v>
      </c>
      <c r="AM18" s="153">
        <f t="shared" si="7"/>
        <v>20997.142857142859</v>
      </c>
      <c r="AN18" s="153">
        <f t="shared" si="7"/>
        <v>0</v>
      </c>
      <c r="AO18" s="153" t="str">
        <f t="shared" si="7"/>
        <v/>
      </c>
      <c r="AP18" s="153" t="str">
        <f t="shared" si="7"/>
        <v/>
      </c>
      <c r="AQ18" s="153" t="str">
        <f t="shared" si="7"/>
        <v/>
      </c>
      <c r="AR18" s="153" t="str">
        <f t="shared" si="7"/>
        <v/>
      </c>
      <c r="AS18" s="153" t="str">
        <f t="shared" si="7"/>
        <v/>
      </c>
      <c r="AT18" s="153" t="str">
        <f t="shared" si="7"/>
        <v/>
      </c>
      <c r="AU18" s="153" t="str">
        <f t="shared" si="7"/>
        <v/>
      </c>
      <c r="AV18" s="153">
        <f t="shared" si="7"/>
        <v>0</v>
      </c>
      <c r="AW18" s="153">
        <f t="shared" si="7"/>
        <v>0</v>
      </c>
      <c r="AX18" s="154">
        <f t="shared" si="7"/>
        <v>0</v>
      </c>
      <c r="AZ18" s="265"/>
      <c r="BC18" s="460">
        <f>IF($G18=BC$10,MATCH($F18,'kWh Summary All RSs'!$F$7:$F$40,0),0)</f>
        <v>0</v>
      </c>
      <c r="BD18" s="459">
        <f>IF($G18=BD$10,MATCH($F18,'kWh Summary All RSs'!$F$7:$F$40,0),0)</f>
        <v>7</v>
      </c>
      <c r="BE18" s="459">
        <f>IF($G18=BE$10,MATCH($F18,'kWh Summary All RSs'!$F$7:$F$40,0),0)</f>
        <v>0</v>
      </c>
    </row>
    <row r="19" spans="2:57" s="137" customFormat="1" ht="15" customHeight="1" x14ac:dyDescent="0.25">
      <c r="B19" s="265"/>
      <c r="D19" s="155">
        <f>'kWh Summary All RSs'!D14</f>
        <v>42719</v>
      </c>
      <c r="E19" s="156">
        <f>'kWh Summary All RSs'!E14</f>
        <v>43800</v>
      </c>
      <c r="F19" s="157">
        <f>'kWh Summary All RSs'!F14</f>
        <v>3199000000</v>
      </c>
      <c r="G19" s="158" t="str">
        <f>'kWh Summary All RSs'!I14</f>
        <v xml:space="preserve">RATE2   </v>
      </c>
      <c r="H19" s="159">
        <f t="shared" si="2"/>
        <v>267197.3529411765</v>
      </c>
      <c r="I19" s="160">
        <f t="shared" si="2"/>
        <v>437437.6470588235</v>
      </c>
      <c r="J19" s="160">
        <f t="shared" si="2"/>
        <v>432440</v>
      </c>
      <c r="K19" s="161">
        <f t="shared" si="3"/>
        <v>1137075</v>
      </c>
      <c r="L19" s="152">
        <f t="shared" si="4"/>
        <v>66999.137931034493</v>
      </c>
      <c r="M19" s="153">
        <f t="shared" si="4"/>
        <v>48155.862068965522</v>
      </c>
      <c r="N19" s="153">
        <f t="shared" si="4"/>
        <v>30128.275862068964</v>
      </c>
      <c r="O19" s="153">
        <f t="shared" si="4"/>
        <v>14042.046718576195</v>
      </c>
      <c r="P19" s="153">
        <f t="shared" si="4"/>
        <v>12491.010752688173</v>
      </c>
      <c r="Q19" s="153">
        <f t="shared" si="8"/>
        <v>12433.333333333332</v>
      </c>
      <c r="R19" s="153">
        <f t="shared" si="5"/>
        <v>12439.526881720431</v>
      </c>
      <c r="S19" s="153">
        <f t="shared" si="5"/>
        <v>10873.806451612903</v>
      </c>
      <c r="T19" s="153">
        <f t="shared" si="5"/>
        <v>8564.4137931034493</v>
      </c>
      <c r="U19" s="153">
        <f t="shared" si="5"/>
        <v>10192.586206896551</v>
      </c>
      <c r="V19" s="153">
        <f t="shared" si="5"/>
        <v>14893.064516129032</v>
      </c>
      <c r="W19" s="153">
        <f t="shared" si="5"/>
        <v>25984.288425047438</v>
      </c>
      <c r="X19" s="153">
        <f t="shared" si="5"/>
        <v>30095.578093306285</v>
      </c>
      <c r="Y19" s="153">
        <f t="shared" si="5"/>
        <v>24529.568965517239</v>
      </c>
      <c r="Z19" s="153">
        <f t="shared" si="5"/>
        <v>25093.879310344826</v>
      </c>
      <c r="AA19" s="153">
        <f t="shared" si="5"/>
        <v>24968.275862068964</v>
      </c>
      <c r="AB19" s="153">
        <f t="shared" si="6"/>
        <v>27629.132706374086</v>
      </c>
      <c r="AC19" s="153">
        <f t="shared" si="6"/>
        <v>27758.545454545456</v>
      </c>
      <c r="AD19" s="153">
        <f t="shared" si="6"/>
        <v>37518.528735632186</v>
      </c>
      <c r="AE19" s="153">
        <f t="shared" si="6"/>
        <v>45984.743991640542</v>
      </c>
      <c r="AF19" s="153">
        <f t="shared" si="6"/>
        <v>45311.807732497386</v>
      </c>
      <c r="AG19" s="153">
        <f t="shared" si="6"/>
        <v>49287.586206896551</v>
      </c>
      <c r="AH19" s="153">
        <f t="shared" si="6"/>
        <v>49285</v>
      </c>
      <c r="AI19" s="153">
        <f t="shared" si="6"/>
        <v>49975</v>
      </c>
      <c r="AJ19" s="153">
        <f t="shared" si="6"/>
        <v>49427.5</v>
      </c>
      <c r="AK19" s="153">
        <f t="shared" si="6"/>
        <v>46052.5</v>
      </c>
      <c r="AL19" s="153">
        <f t="shared" si="7"/>
        <v>44680</v>
      </c>
      <c r="AM19" s="153">
        <f t="shared" si="7"/>
        <v>31896.774193548386</v>
      </c>
      <c r="AN19" s="153">
        <f t="shared" si="7"/>
        <v>29623.225806451614</v>
      </c>
      <c r="AO19" s="153">
        <f t="shared" si="7"/>
        <v>29720</v>
      </c>
      <c r="AP19" s="153">
        <f t="shared" si="7"/>
        <v>31560</v>
      </c>
      <c r="AQ19" s="153">
        <f t="shared" si="7"/>
        <v>32120.000000000004</v>
      </c>
      <c r="AR19" s="153">
        <f t="shared" si="7"/>
        <v>29160</v>
      </c>
      <c r="AS19" s="153">
        <f t="shared" si="7"/>
        <v>33320</v>
      </c>
      <c r="AT19" s="153">
        <f t="shared" si="7"/>
        <v>35200</v>
      </c>
      <c r="AU19" s="153">
        <f t="shared" si="7"/>
        <v>39680</v>
      </c>
      <c r="AV19" s="153">
        <f t="shared" si="7"/>
        <v>0</v>
      </c>
      <c r="AW19" s="153">
        <f t="shared" si="7"/>
        <v>0</v>
      </c>
      <c r="AX19" s="154">
        <f t="shared" si="7"/>
        <v>0</v>
      </c>
      <c r="AZ19" s="265"/>
      <c r="BC19" s="460">
        <f>IF($G19=BC$10,MATCH($F19,'kWh Summary All RSs'!$F$7:$F$40,0),0)</f>
        <v>0</v>
      </c>
      <c r="BD19" s="459">
        <f>IF($G19=BD$10,MATCH($F19,'kWh Summary All RSs'!$F$7:$F$40,0),0)</f>
        <v>8</v>
      </c>
      <c r="BE19" s="459">
        <f>IF($G19=BE$10,MATCH($F19,'kWh Summary All RSs'!$F$7:$F$40,0),0)</f>
        <v>0</v>
      </c>
    </row>
    <row r="20" spans="2:57" s="137" customFormat="1" ht="15" customHeight="1" x14ac:dyDescent="0.25">
      <c r="B20" s="265"/>
      <c r="D20" s="155">
        <f>'kWh Summary All RSs'!D15</f>
        <v>42725</v>
      </c>
      <c r="E20" s="156">
        <f>'kWh Summary All RSs'!E15</f>
        <v>43800</v>
      </c>
      <c r="F20" s="157">
        <f>'kWh Summary All RSs'!F15</f>
        <v>2057100000</v>
      </c>
      <c r="G20" s="158" t="str">
        <f>'kWh Summary All RSs'!I15</f>
        <v xml:space="preserve">RATE2   </v>
      </c>
      <c r="H20" s="159">
        <f t="shared" si="2"/>
        <v>95454.117647058825</v>
      </c>
      <c r="I20" s="160">
        <f t="shared" si="2"/>
        <v>1518006.5275142316</v>
      </c>
      <c r="J20" s="160">
        <f t="shared" si="2"/>
        <v>1640433.3203559511</v>
      </c>
      <c r="K20" s="161">
        <f t="shared" si="3"/>
        <v>3253893.9655172415</v>
      </c>
      <c r="L20" s="152">
        <f t="shared" si="4"/>
        <v>16450</v>
      </c>
      <c r="M20" s="153">
        <f t="shared" si="4"/>
        <v>9378.9655172413804</v>
      </c>
      <c r="N20" s="153">
        <f t="shared" si="4"/>
        <v>7947.5862068965525</v>
      </c>
      <c r="O20" s="153">
        <f t="shared" si="4"/>
        <v>5925.5172413793107</v>
      </c>
      <c r="P20" s="153">
        <f t="shared" si="4"/>
        <v>4510.4310344827591</v>
      </c>
      <c r="Q20" s="153">
        <f t="shared" si="8"/>
        <v>3032.8333333333335</v>
      </c>
      <c r="R20" s="153">
        <f t="shared" si="5"/>
        <v>3000.1839080459768</v>
      </c>
      <c r="S20" s="153">
        <f t="shared" si="5"/>
        <v>2329.4827586206893</v>
      </c>
      <c r="T20" s="153">
        <f t="shared" si="5"/>
        <v>1609.6153846153848</v>
      </c>
      <c r="U20" s="153">
        <f t="shared" si="5"/>
        <v>1895.3846153846155</v>
      </c>
      <c r="V20" s="153">
        <f t="shared" si="5"/>
        <v>2230.30303030303</v>
      </c>
      <c r="W20" s="153">
        <f t="shared" si="5"/>
        <v>37143.814616755793</v>
      </c>
      <c r="X20" s="153">
        <f t="shared" si="5"/>
        <v>100577.88235294117</v>
      </c>
      <c r="Y20" s="153">
        <f t="shared" si="5"/>
        <v>116889.37931034483</v>
      </c>
      <c r="Z20" s="153">
        <f t="shared" si="5"/>
        <v>129233.45939933258</v>
      </c>
      <c r="AA20" s="153">
        <f t="shared" si="5"/>
        <v>125456.1957730812</v>
      </c>
      <c r="AB20" s="153">
        <f t="shared" si="6"/>
        <v>126419.93325917688</v>
      </c>
      <c r="AC20" s="153">
        <f t="shared" si="6"/>
        <v>119954.03225806452</v>
      </c>
      <c r="AD20" s="153">
        <f t="shared" si="6"/>
        <v>127377.75862068965</v>
      </c>
      <c r="AE20" s="153">
        <f t="shared" si="6"/>
        <v>135502.69592476488</v>
      </c>
      <c r="AF20" s="153">
        <f t="shared" si="6"/>
        <v>132353.85579937306</v>
      </c>
      <c r="AG20" s="153">
        <f t="shared" si="6"/>
        <v>136994.8832035595</v>
      </c>
      <c r="AH20" s="153">
        <f t="shared" si="6"/>
        <v>132830.96774193548</v>
      </c>
      <c r="AI20" s="153">
        <f t="shared" si="6"/>
        <v>134415.48387096776</v>
      </c>
      <c r="AJ20" s="153">
        <f t="shared" si="6"/>
        <v>134359.3548387097</v>
      </c>
      <c r="AK20" s="153">
        <f t="shared" si="6"/>
        <v>122602.85714285714</v>
      </c>
      <c r="AL20" s="153">
        <f t="shared" si="7"/>
        <v>138377.14285714284</v>
      </c>
      <c r="AM20" s="153">
        <f t="shared" si="7"/>
        <v>145489.6551724138</v>
      </c>
      <c r="AN20" s="153">
        <f t="shared" si="7"/>
        <v>150339.31034482759</v>
      </c>
      <c r="AO20" s="153">
        <f t="shared" si="7"/>
        <v>137025</v>
      </c>
      <c r="AP20" s="153">
        <f t="shared" si="7"/>
        <v>145600</v>
      </c>
      <c r="AQ20" s="153">
        <f t="shared" si="7"/>
        <v>132080</v>
      </c>
      <c r="AR20" s="153">
        <f t="shared" si="7"/>
        <v>130640.00000000001</v>
      </c>
      <c r="AS20" s="153">
        <f t="shared" si="7"/>
        <v>132960</v>
      </c>
      <c r="AT20" s="153">
        <f t="shared" si="7"/>
        <v>134000</v>
      </c>
      <c r="AU20" s="153">
        <f t="shared" si="7"/>
        <v>136960</v>
      </c>
      <c r="AV20" s="153">
        <f t="shared" si="7"/>
        <v>0</v>
      </c>
      <c r="AW20" s="153">
        <f t="shared" si="7"/>
        <v>0</v>
      </c>
      <c r="AX20" s="154">
        <f t="shared" si="7"/>
        <v>0</v>
      </c>
      <c r="AZ20" s="265"/>
      <c r="BC20" s="460">
        <f>IF($G20=BC$10,MATCH($F20,'kWh Summary All RSs'!$F$7:$F$40,0),0)</f>
        <v>0</v>
      </c>
      <c r="BD20" s="459">
        <f>IF($G20=BD$10,MATCH($F20,'kWh Summary All RSs'!$F$7:$F$40,0),0)</f>
        <v>9</v>
      </c>
      <c r="BE20" s="459">
        <f>IF($G20=BE$10,MATCH($F20,'kWh Summary All RSs'!$F$7:$F$40,0),0)</f>
        <v>0</v>
      </c>
    </row>
    <row r="21" spans="2:57" s="137" customFormat="1" ht="15" customHeight="1" x14ac:dyDescent="0.25">
      <c r="B21" s="265"/>
      <c r="D21" s="155">
        <f>'kWh Summary All RSs'!D16</f>
        <v>43103</v>
      </c>
      <c r="E21" s="156">
        <f>'kWh Summary All RSs'!E16</f>
        <v>43800</v>
      </c>
      <c r="F21" s="157">
        <f>'kWh Summary All RSs'!F16</f>
        <v>8918635834</v>
      </c>
      <c r="G21" s="158" t="str">
        <f>'kWh Summary All RSs'!I16</f>
        <v xml:space="preserve">RATE7   </v>
      </c>
      <c r="H21" s="159">
        <f t="shared" si="2"/>
        <v>0</v>
      </c>
      <c r="I21" s="160">
        <f t="shared" si="2"/>
        <v>24679718.279569894</v>
      </c>
      <c r="J21" s="160">
        <f t="shared" si="2"/>
        <v>14786640</v>
      </c>
      <c r="K21" s="161">
        <f t="shared" si="3"/>
        <v>39466358.279569894</v>
      </c>
      <c r="L21" s="152" t="str">
        <f t="shared" si="4"/>
        <v/>
      </c>
      <c r="M21" s="153" t="str">
        <f t="shared" si="4"/>
        <v/>
      </c>
      <c r="N21" s="153" t="str">
        <f t="shared" si="4"/>
        <v/>
      </c>
      <c r="O21" s="153" t="str">
        <f t="shared" si="4"/>
        <v/>
      </c>
      <c r="P21" s="153" t="str">
        <f t="shared" si="4"/>
        <v/>
      </c>
      <c r="Q21" s="153" t="str">
        <f t="shared" si="8"/>
        <v/>
      </c>
      <c r="R21" s="153" t="str">
        <f t="shared" si="5"/>
        <v/>
      </c>
      <c r="S21" s="153" t="str">
        <f t="shared" si="5"/>
        <v/>
      </c>
      <c r="T21" s="153" t="str">
        <f t="shared" si="5"/>
        <v/>
      </c>
      <c r="U21" s="153" t="str">
        <f t="shared" si="5"/>
        <v/>
      </c>
      <c r="V21" s="153" t="str">
        <f t="shared" si="5"/>
        <v/>
      </c>
      <c r="W21" s="153" t="str">
        <f t="shared" si="5"/>
        <v/>
      </c>
      <c r="X21" s="153">
        <f t="shared" si="5"/>
        <v>2054466.6666666667</v>
      </c>
      <c r="Y21" s="153">
        <f t="shared" si="5"/>
        <v>1851500</v>
      </c>
      <c r="Z21" s="153">
        <f t="shared" si="5"/>
        <v>2121913.7931034481</v>
      </c>
      <c r="AA21" s="153">
        <f t="shared" si="5"/>
        <v>2064758.620689655</v>
      </c>
      <c r="AB21" s="153">
        <f t="shared" si="6"/>
        <v>2220645.7680250783</v>
      </c>
      <c r="AC21" s="153">
        <f t="shared" si="6"/>
        <v>2200147.3354231976</v>
      </c>
      <c r="AD21" s="153">
        <f t="shared" si="6"/>
        <v>2297867.8160919542</v>
      </c>
      <c r="AE21" s="153">
        <f t="shared" si="6"/>
        <v>2244166.6666666665</v>
      </c>
      <c r="AF21" s="153">
        <f t="shared" si="6"/>
        <v>2117241.3793103443</v>
      </c>
      <c r="AG21" s="153">
        <f t="shared" si="6"/>
        <v>2021958.6206896552</v>
      </c>
      <c r="AH21" s="153">
        <f t="shared" si="6"/>
        <v>1752545.4545454546</v>
      </c>
      <c r="AI21" s="153">
        <f t="shared" si="6"/>
        <v>1732506.1583577713</v>
      </c>
      <c r="AJ21" s="153">
        <f t="shared" si="6"/>
        <v>735840</v>
      </c>
      <c r="AK21" s="153" t="str">
        <f t="shared" si="6"/>
        <v/>
      </c>
      <c r="AL21" s="153" t="str">
        <f t="shared" si="7"/>
        <v/>
      </c>
      <c r="AM21" s="153">
        <f t="shared" si="7"/>
        <v>552000</v>
      </c>
      <c r="AN21" s="153">
        <f t="shared" si="7"/>
        <v>1738800</v>
      </c>
      <c r="AO21" s="153">
        <f t="shared" si="7"/>
        <v>1749300</v>
      </c>
      <c r="AP21" s="153">
        <f t="shared" si="7"/>
        <v>1862700</v>
      </c>
      <c r="AQ21" s="153">
        <f t="shared" si="7"/>
        <v>1824900</v>
      </c>
      <c r="AR21" s="153">
        <f t="shared" si="7"/>
        <v>1593900</v>
      </c>
      <c r="AS21" s="153">
        <f t="shared" si="7"/>
        <v>1591800</v>
      </c>
      <c r="AT21" s="153">
        <f t="shared" si="7"/>
        <v>1591800</v>
      </c>
      <c r="AU21" s="153">
        <f t="shared" si="7"/>
        <v>1545600</v>
      </c>
      <c r="AV21" s="153">
        <f t="shared" si="7"/>
        <v>0</v>
      </c>
      <c r="AW21" s="153">
        <f t="shared" si="7"/>
        <v>0</v>
      </c>
      <c r="AX21" s="154">
        <f t="shared" si="7"/>
        <v>0</v>
      </c>
      <c r="AZ21" s="265"/>
      <c r="BC21" s="460">
        <f>IF($G21=BC$10,MATCH($F21,'kWh Summary All RSs'!$F$7:$F$40,0),0)</f>
        <v>0</v>
      </c>
      <c r="BD21" s="459">
        <f>IF($G21=BD$10,MATCH($F21,'kWh Summary All RSs'!$F$7:$F$40,0),0)</f>
        <v>0</v>
      </c>
      <c r="BE21" s="459">
        <f>IF($G21=BE$10,MATCH($F21,'kWh Summary All RSs'!$F$7:$F$40,0),0)</f>
        <v>10</v>
      </c>
    </row>
    <row r="22" spans="2:57" s="137" customFormat="1" ht="15" customHeight="1" x14ac:dyDescent="0.25">
      <c r="B22" s="265"/>
      <c r="D22" s="155">
        <f>'kWh Summary All RSs'!D17</f>
        <v>43111</v>
      </c>
      <c r="E22" s="156">
        <f>'kWh Summary All RSs'!E17</f>
        <v>43800</v>
      </c>
      <c r="F22" s="157">
        <f>'kWh Summary All RSs'!F17</f>
        <v>403026638</v>
      </c>
      <c r="G22" s="158" t="str">
        <f>'kWh Summary All RSs'!I17</f>
        <v xml:space="preserve">RATE7   </v>
      </c>
      <c r="H22" s="159">
        <f t="shared" si="2"/>
        <v>0</v>
      </c>
      <c r="I22" s="160">
        <f t="shared" si="2"/>
        <v>3406195.5080213905</v>
      </c>
      <c r="J22" s="160">
        <f t="shared" si="2"/>
        <v>2900232.7272727275</v>
      </c>
      <c r="K22" s="161">
        <f t="shared" si="3"/>
        <v>6306428.2352941185</v>
      </c>
      <c r="L22" s="152" t="str">
        <f t="shared" ref="L22:P31" si="9">IF(L$11=0,0,INDEX(KWH_Actual_Monthly,SUM($BC22:$BE22),MATCH(L$11,KWh_Month)))</f>
        <v/>
      </c>
      <c r="M22" s="153" t="str">
        <f t="shared" si="9"/>
        <v/>
      </c>
      <c r="N22" s="153" t="str">
        <f t="shared" si="9"/>
        <v/>
      </c>
      <c r="O22" s="153" t="str">
        <f t="shared" si="9"/>
        <v/>
      </c>
      <c r="P22" s="153" t="str">
        <f t="shared" si="9"/>
        <v/>
      </c>
      <c r="Q22" s="153" t="str">
        <f t="shared" si="8"/>
        <v/>
      </c>
      <c r="R22" s="153" t="str">
        <f t="shared" ref="R22:AA31" si="10">IF(R$11=0,0,INDEX(KWH_Actual_Monthly,SUM($BC22:$BE22),MATCH(R$11,KWh_Month)))</f>
        <v/>
      </c>
      <c r="S22" s="153" t="str">
        <f t="shared" si="10"/>
        <v/>
      </c>
      <c r="T22" s="153" t="str">
        <f t="shared" si="10"/>
        <v/>
      </c>
      <c r="U22" s="153" t="str">
        <f t="shared" si="10"/>
        <v/>
      </c>
      <c r="V22" s="153" t="str">
        <f t="shared" si="10"/>
        <v/>
      </c>
      <c r="W22" s="153" t="str">
        <f t="shared" si="10"/>
        <v/>
      </c>
      <c r="X22" s="153">
        <f t="shared" si="10"/>
        <v>237479.26977687626</v>
      </c>
      <c r="Y22" s="153">
        <f t="shared" si="10"/>
        <v>228648.96551724139</v>
      </c>
      <c r="Z22" s="153">
        <f t="shared" si="10"/>
        <v>270484.8275862069</v>
      </c>
      <c r="AA22" s="153">
        <f t="shared" si="10"/>
        <v>285958.62068965519</v>
      </c>
      <c r="AB22" s="153">
        <f t="shared" ref="AB22:AK31" si="11">IF(AB$11=0,0,INDEX(KWH_Actual_Monthly,SUM($BC22:$BE22),MATCH(AB$11,KWh_Month)))</f>
        <v>306469.88505747129</v>
      </c>
      <c r="AC22" s="153">
        <f t="shared" si="11"/>
        <v>301093.33333333331</v>
      </c>
      <c r="AD22" s="153">
        <f t="shared" si="11"/>
        <v>307697.47126436781</v>
      </c>
      <c r="AE22" s="153">
        <f t="shared" si="11"/>
        <v>308595.86206896551</v>
      </c>
      <c r="AF22" s="153">
        <f t="shared" si="11"/>
        <v>292270.3448275862</v>
      </c>
      <c r="AG22" s="153">
        <f t="shared" si="11"/>
        <v>295520</v>
      </c>
      <c r="AH22" s="153">
        <f t="shared" si="11"/>
        <v>283516.32183908042</v>
      </c>
      <c r="AI22" s="153">
        <f t="shared" si="11"/>
        <v>288460.60606060602</v>
      </c>
      <c r="AJ22" s="153">
        <f t="shared" si="11"/>
        <v>283041.00313479622</v>
      </c>
      <c r="AK22" s="153">
        <f t="shared" si="11"/>
        <v>250504.8275862069</v>
      </c>
      <c r="AL22" s="153">
        <f t="shared" ref="AL22:AX31" si="12">IF(AL$11=0,0,INDEX(KWH_Actual_Monthly,SUM($BC22:$BE22),MATCH(AL$11,KWh_Month)))</f>
        <v>259486.89655172412</v>
      </c>
      <c r="AM22" s="153">
        <f t="shared" si="12"/>
        <v>240800</v>
      </c>
      <c r="AN22" s="153">
        <f t="shared" si="12"/>
        <v>0</v>
      </c>
      <c r="AO22" s="153">
        <f t="shared" si="12"/>
        <v>227200</v>
      </c>
      <c r="AP22" s="153">
        <f t="shared" si="12"/>
        <v>228000</v>
      </c>
      <c r="AQ22" s="153">
        <f t="shared" si="12"/>
        <v>223840</v>
      </c>
      <c r="AR22" s="153">
        <f t="shared" si="12"/>
        <v>293920</v>
      </c>
      <c r="AS22" s="153">
        <f t="shared" si="12"/>
        <v>311520</v>
      </c>
      <c r="AT22" s="153">
        <f t="shared" si="12"/>
        <v>290400</v>
      </c>
      <c r="AU22" s="153">
        <f t="shared" si="12"/>
        <v>291520</v>
      </c>
      <c r="AV22" s="153">
        <f t="shared" si="12"/>
        <v>0</v>
      </c>
      <c r="AW22" s="153">
        <f t="shared" si="12"/>
        <v>0</v>
      </c>
      <c r="AX22" s="154">
        <f t="shared" si="12"/>
        <v>0</v>
      </c>
      <c r="AZ22" s="265"/>
      <c r="BC22" s="460">
        <f>IF($G22=BC$10,MATCH($F22,'kWh Summary All RSs'!$F$7:$F$40,0),0)</f>
        <v>0</v>
      </c>
      <c r="BD22" s="459">
        <f>IF($G22=BD$10,MATCH($F22,'kWh Summary All RSs'!$F$7:$F$40,0),0)</f>
        <v>0</v>
      </c>
      <c r="BE22" s="459">
        <f>IF($G22=BE$10,MATCH($F22,'kWh Summary All RSs'!$F$7:$F$40,0),0)</f>
        <v>11</v>
      </c>
    </row>
    <row r="23" spans="2:57" s="137" customFormat="1" ht="15" customHeight="1" x14ac:dyDescent="0.25">
      <c r="B23" s="265"/>
      <c r="D23" s="155">
        <f>'kWh Summary All RSs'!D18</f>
        <v>42724</v>
      </c>
      <c r="E23" s="156">
        <f>'kWh Summary All RSs'!E18</f>
        <v>43822</v>
      </c>
      <c r="F23" s="157">
        <f>'kWh Summary All RSs'!F18</f>
        <v>9374203699</v>
      </c>
      <c r="G23" s="158" t="str">
        <f>'kWh Summary All RSs'!I18</f>
        <v xml:space="preserve">RATE7   </v>
      </c>
      <c r="H23" s="159">
        <f t="shared" si="2"/>
        <v>1396880</v>
      </c>
      <c r="I23" s="160">
        <f t="shared" si="2"/>
        <v>1283786.6666666665</v>
      </c>
      <c r="J23" s="160">
        <f t="shared" si="2"/>
        <v>740690.76333973778</v>
      </c>
      <c r="K23" s="161">
        <f t="shared" si="3"/>
        <v>3421357.4300064044</v>
      </c>
      <c r="L23" s="152">
        <f t="shared" si="9"/>
        <v>119933.79310344828</v>
      </c>
      <c r="M23" s="153">
        <f t="shared" si="9"/>
        <v>64086.206896551725</v>
      </c>
      <c r="N23" s="153">
        <f t="shared" si="9"/>
        <v>96026.896551724145</v>
      </c>
      <c r="O23" s="153">
        <f t="shared" si="9"/>
        <v>123757.24137931033</v>
      </c>
      <c r="P23" s="153">
        <f t="shared" si="9"/>
        <v>130900.86206896551</v>
      </c>
      <c r="Q23" s="153">
        <f t="shared" si="8"/>
        <v>122431</v>
      </c>
      <c r="R23" s="153">
        <f t="shared" si="10"/>
        <v>118544</v>
      </c>
      <c r="S23" s="153">
        <f t="shared" si="10"/>
        <v>100902.5</v>
      </c>
      <c r="T23" s="153">
        <f t="shared" si="10"/>
        <v>94294.741379310348</v>
      </c>
      <c r="U23" s="153">
        <f t="shared" si="10"/>
        <v>124082.75862068965</v>
      </c>
      <c r="V23" s="153">
        <f t="shared" si="10"/>
        <v>147672.72727272729</v>
      </c>
      <c r="W23" s="153">
        <f t="shared" si="10"/>
        <v>154247.27272727274</v>
      </c>
      <c r="X23" s="153">
        <f t="shared" si="10"/>
        <v>148133.33333333331</v>
      </c>
      <c r="Y23" s="153">
        <f t="shared" si="10"/>
        <v>127919.08045977011</v>
      </c>
      <c r="Z23" s="153">
        <f t="shared" si="10"/>
        <v>142259.31034482759</v>
      </c>
      <c r="AA23" s="153">
        <f t="shared" si="10"/>
        <v>134072.79199110123</v>
      </c>
      <c r="AB23" s="153">
        <f t="shared" si="11"/>
        <v>130578.06451612903</v>
      </c>
      <c r="AC23" s="153">
        <f t="shared" si="11"/>
        <v>126627.41935483871</v>
      </c>
      <c r="AD23" s="153">
        <f t="shared" si="11"/>
        <v>132490</v>
      </c>
      <c r="AE23" s="153">
        <f t="shared" si="11"/>
        <v>27920</v>
      </c>
      <c r="AF23" s="153">
        <f t="shared" si="11"/>
        <v>17651.612903225807</v>
      </c>
      <c r="AG23" s="153">
        <f t="shared" si="11"/>
        <v>50295.053763440868</v>
      </c>
      <c r="AH23" s="153">
        <f t="shared" si="11"/>
        <v>88666.666666666657</v>
      </c>
      <c r="AI23" s="153">
        <f t="shared" si="11"/>
        <v>157173.33333333331</v>
      </c>
      <c r="AJ23" s="153">
        <f t="shared" si="11"/>
        <v>158381.33333333334</v>
      </c>
      <c r="AK23" s="153" t="str">
        <f t="shared" si="11"/>
        <v/>
      </c>
      <c r="AL23" s="153">
        <f t="shared" si="12"/>
        <v>46903.870967741939</v>
      </c>
      <c r="AM23" s="153">
        <f t="shared" si="12"/>
        <v>23076.129032258064</v>
      </c>
      <c r="AN23" s="153">
        <f t="shared" si="12"/>
        <v>16622.42424242424</v>
      </c>
      <c r="AO23" s="153" t="str">
        <f t="shared" si="12"/>
        <v/>
      </c>
      <c r="AP23" s="153">
        <f t="shared" si="12"/>
        <v>76915.862068965507</v>
      </c>
      <c r="AQ23" s="153">
        <f t="shared" si="12"/>
        <v>129847.27272727274</v>
      </c>
      <c r="AR23" s="153" t="str">
        <f t="shared" si="12"/>
        <v/>
      </c>
      <c r="AS23" s="153">
        <f t="shared" si="12"/>
        <v>83552.903225806454</v>
      </c>
      <c r="AT23" s="153">
        <f t="shared" si="12"/>
        <v>93251.612903225818</v>
      </c>
      <c r="AU23" s="153">
        <f t="shared" si="12"/>
        <v>112139.35483870967</v>
      </c>
      <c r="AV23" s="153">
        <f t="shared" si="12"/>
        <v>0</v>
      </c>
      <c r="AW23" s="153">
        <f t="shared" si="12"/>
        <v>0</v>
      </c>
      <c r="AX23" s="154">
        <f t="shared" si="12"/>
        <v>0</v>
      </c>
      <c r="AZ23" s="265"/>
      <c r="BC23" s="460">
        <f>IF($G23=BC$10,MATCH($F23,'kWh Summary All RSs'!$F$7:$F$40,0),0)</f>
        <v>0</v>
      </c>
      <c r="BD23" s="459">
        <f>IF($G23=BD$10,MATCH($F23,'kWh Summary All RSs'!$F$7:$F$40,0),0)</f>
        <v>0</v>
      </c>
      <c r="BE23" s="459">
        <f>IF($G23=BE$10,MATCH($F23,'kWh Summary All RSs'!$F$7:$F$40,0),0)</f>
        <v>12</v>
      </c>
    </row>
    <row r="24" spans="2:57" s="137" customFormat="1" ht="15" customHeight="1" x14ac:dyDescent="0.25">
      <c r="B24" s="265"/>
      <c r="D24" s="155">
        <f>'kWh Summary All RSs'!D19</f>
        <v>42724</v>
      </c>
      <c r="E24" s="156">
        <f>'kWh Summary All RSs'!E19</f>
        <v>43800</v>
      </c>
      <c r="F24" s="157">
        <f>'kWh Summary All RSs'!F19</f>
        <v>9591881044</v>
      </c>
      <c r="G24" s="158" t="str">
        <f>'kWh Summary All RSs'!I19</f>
        <v xml:space="preserve">RATE7   </v>
      </c>
      <c r="H24" s="159">
        <f t="shared" si="2"/>
        <v>3211591.7647058824</v>
      </c>
      <c r="I24" s="160">
        <f t="shared" si="2"/>
        <v>7787288.2352941176</v>
      </c>
      <c r="J24" s="160">
        <f t="shared" si="2"/>
        <v>7640000</v>
      </c>
      <c r="K24" s="161">
        <f t="shared" si="3"/>
        <v>18638880</v>
      </c>
      <c r="L24" s="152">
        <f t="shared" si="9"/>
        <v>355017.93103448278</v>
      </c>
      <c r="M24" s="153">
        <f t="shared" si="9"/>
        <v>214337.06896551725</v>
      </c>
      <c r="N24" s="153">
        <f t="shared" si="9"/>
        <v>354256.03448275861</v>
      </c>
      <c r="O24" s="153">
        <f t="shared" si="9"/>
        <v>160137.93103448275</v>
      </c>
      <c r="P24" s="153">
        <f t="shared" si="9"/>
        <v>147274.78448275861</v>
      </c>
      <c r="Q24" s="153">
        <f t="shared" si="8"/>
        <v>135056.25</v>
      </c>
      <c r="R24" s="153">
        <f t="shared" si="10"/>
        <v>136800</v>
      </c>
      <c r="S24" s="153">
        <f t="shared" si="10"/>
        <v>146863.63636363635</v>
      </c>
      <c r="T24" s="153">
        <f t="shared" si="10"/>
        <v>98805.594405594413</v>
      </c>
      <c r="U24" s="153">
        <f t="shared" si="10"/>
        <v>327330.76923076925</v>
      </c>
      <c r="V24" s="153">
        <f t="shared" si="10"/>
        <v>576900</v>
      </c>
      <c r="W24" s="153">
        <f t="shared" si="10"/>
        <v>558811.76470588241</v>
      </c>
      <c r="X24" s="153">
        <f t="shared" si="10"/>
        <v>491588.23529411765</v>
      </c>
      <c r="Y24" s="153">
        <f t="shared" si="10"/>
        <v>468468.96551724139</v>
      </c>
      <c r="Z24" s="153">
        <f t="shared" si="10"/>
        <v>615134.48275862075</v>
      </c>
      <c r="AA24" s="153">
        <f t="shared" si="10"/>
        <v>666138.48720800888</v>
      </c>
      <c r="AB24" s="153">
        <f t="shared" si="11"/>
        <v>708038.70967741939</v>
      </c>
      <c r="AC24" s="153">
        <f t="shared" si="11"/>
        <v>701419.3548387097</v>
      </c>
      <c r="AD24" s="153">
        <f t="shared" si="11"/>
        <v>731803.44827586203</v>
      </c>
      <c r="AE24" s="153">
        <f t="shared" si="11"/>
        <v>701354.61624026694</v>
      </c>
      <c r="AF24" s="153">
        <f t="shared" si="11"/>
        <v>675290.32258064521</v>
      </c>
      <c r="AG24" s="153">
        <f t="shared" si="11"/>
        <v>688351.61290322582</v>
      </c>
      <c r="AH24" s="153">
        <f t="shared" si="11"/>
        <v>659900</v>
      </c>
      <c r="AI24" s="153">
        <f t="shared" si="11"/>
        <v>679800</v>
      </c>
      <c r="AJ24" s="153">
        <f t="shared" si="11"/>
        <v>661280</v>
      </c>
      <c r="AK24" s="153">
        <f t="shared" si="11"/>
        <v>589170</v>
      </c>
      <c r="AL24" s="153">
        <f t="shared" si="12"/>
        <v>657150</v>
      </c>
      <c r="AM24" s="153">
        <f t="shared" si="12"/>
        <v>650400</v>
      </c>
      <c r="AN24" s="153">
        <f t="shared" si="12"/>
        <v>618000</v>
      </c>
      <c r="AO24" s="153">
        <f t="shared" si="12"/>
        <v>659700</v>
      </c>
      <c r="AP24" s="153">
        <f t="shared" si="12"/>
        <v>679500</v>
      </c>
      <c r="AQ24" s="153">
        <f t="shared" si="12"/>
        <v>675000</v>
      </c>
      <c r="AR24" s="153">
        <f t="shared" si="12"/>
        <v>567900</v>
      </c>
      <c r="AS24" s="153">
        <f t="shared" si="12"/>
        <v>630900</v>
      </c>
      <c r="AT24" s="153">
        <f t="shared" si="12"/>
        <v>606000</v>
      </c>
      <c r="AU24" s="153">
        <f t="shared" si="12"/>
        <v>645000</v>
      </c>
      <c r="AV24" s="153">
        <f t="shared" si="12"/>
        <v>0</v>
      </c>
      <c r="AW24" s="153">
        <f t="shared" si="12"/>
        <v>0</v>
      </c>
      <c r="AX24" s="154">
        <f t="shared" si="12"/>
        <v>0</v>
      </c>
      <c r="AZ24" s="265"/>
      <c r="BC24" s="460">
        <f>IF($G24=BC$10,MATCH($F24,'kWh Summary All RSs'!$F$7:$F$40,0),0)</f>
        <v>0</v>
      </c>
      <c r="BD24" s="459">
        <f>IF($G24=BD$10,MATCH($F24,'kWh Summary All RSs'!$F$7:$F$40,0),0)</f>
        <v>0</v>
      </c>
      <c r="BE24" s="459">
        <f>IF($G24=BE$10,MATCH($F24,'kWh Summary All RSs'!$F$7:$F$40,0),0)</f>
        <v>13</v>
      </c>
    </row>
    <row r="25" spans="2:57" s="137" customFormat="1" ht="15" customHeight="1" x14ac:dyDescent="0.25">
      <c r="B25" s="265"/>
      <c r="D25" s="155">
        <f>'kWh Summary All RSs'!D20</f>
        <v>42712</v>
      </c>
      <c r="E25" s="156">
        <f>'kWh Summary All RSs'!E20</f>
        <v>43800</v>
      </c>
      <c r="F25" s="157">
        <f>'kWh Summary All RSs'!F20</f>
        <v>4506838992</v>
      </c>
      <c r="G25" s="158" t="str">
        <f>'kWh Summary All RSs'!I20</f>
        <v xml:space="preserve">RATE7   </v>
      </c>
      <c r="H25" s="159">
        <f t="shared" si="2"/>
        <v>2423396.4705882357</v>
      </c>
      <c r="I25" s="160">
        <f t="shared" si="2"/>
        <v>3490360.3036053125</v>
      </c>
      <c r="J25" s="160">
        <f t="shared" si="2"/>
        <v>3423223.2258064514</v>
      </c>
      <c r="K25" s="161">
        <f t="shared" si="3"/>
        <v>9336980</v>
      </c>
      <c r="L25" s="152">
        <f t="shared" si="9"/>
        <v>204513.79310344826</v>
      </c>
      <c r="M25" s="153">
        <f t="shared" si="9"/>
        <v>185799.54022988502</v>
      </c>
      <c r="N25" s="153">
        <f t="shared" si="9"/>
        <v>212481.83908045976</v>
      </c>
      <c r="O25" s="153">
        <f t="shared" si="9"/>
        <v>198365.4727474972</v>
      </c>
      <c r="P25" s="153">
        <f t="shared" si="9"/>
        <v>204523.35483870967</v>
      </c>
      <c r="Q25" s="153">
        <f t="shared" si="8"/>
        <v>203728</v>
      </c>
      <c r="R25" s="153">
        <f t="shared" si="10"/>
        <v>210685.4193548387</v>
      </c>
      <c r="S25" s="153">
        <f t="shared" si="10"/>
        <v>210055.91397849459</v>
      </c>
      <c r="T25" s="153">
        <f t="shared" si="10"/>
        <v>194487.35632183906</v>
      </c>
      <c r="U25" s="153">
        <f t="shared" si="10"/>
        <v>203936.55172413794</v>
      </c>
      <c r="V25" s="153">
        <f t="shared" si="10"/>
        <v>170859.22920892495</v>
      </c>
      <c r="W25" s="153">
        <f t="shared" si="10"/>
        <v>223960</v>
      </c>
      <c r="X25" s="153">
        <f t="shared" si="10"/>
        <v>276507.66734279919</v>
      </c>
      <c r="Y25" s="153">
        <f t="shared" si="10"/>
        <v>267690.86206896551</v>
      </c>
      <c r="Z25" s="153">
        <f t="shared" si="10"/>
        <v>305765.68965517241</v>
      </c>
      <c r="AA25" s="153">
        <f t="shared" si="10"/>
        <v>286601.37931034481</v>
      </c>
      <c r="AB25" s="153">
        <f t="shared" si="11"/>
        <v>294319.7492163009</v>
      </c>
      <c r="AC25" s="153">
        <f t="shared" si="11"/>
        <v>295738.18181818182</v>
      </c>
      <c r="AD25" s="153">
        <f t="shared" si="11"/>
        <v>306510.3448275862</v>
      </c>
      <c r="AE25" s="153">
        <f t="shared" si="11"/>
        <v>300970.86729362595</v>
      </c>
      <c r="AF25" s="153">
        <f t="shared" si="11"/>
        <v>285864.99477533961</v>
      </c>
      <c r="AG25" s="153">
        <f t="shared" si="11"/>
        <v>292206.89655172417</v>
      </c>
      <c r="AH25" s="153">
        <f t="shared" si="11"/>
        <v>283452.95715778472</v>
      </c>
      <c r="AI25" s="153">
        <f t="shared" si="11"/>
        <v>294730.71358748781</v>
      </c>
      <c r="AJ25" s="153">
        <f t="shared" si="11"/>
        <v>295223.22580645164</v>
      </c>
      <c r="AK25" s="153">
        <f t="shared" si="11"/>
        <v>266659.31034482759</v>
      </c>
      <c r="AL25" s="153">
        <f t="shared" si="12"/>
        <v>302460.68965517241</v>
      </c>
      <c r="AM25" s="153">
        <f t="shared" si="12"/>
        <v>307040</v>
      </c>
      <c r="AN25" s="153">
        <f t="shared" si="12"/>
        <v>324800</v>
      </c>
      <c r="AO25" s="153">
        <f t="shared" si="12"/>
        <v>311920</v>
      </c>
      <c r="AP25" s="153">
        <f t="shared" si="12"/>
        <v>298160</v>
      </c>
      <c r="AQ25" s="153">
        <f t="shared" si="12"/>
        <v>265600</v>
      </c>
      <c r="AR25" s="153">
        <f t="shared" si="12"/>
        <v>226800</v>
      </c>
      <c r="AS25" s="153">
        <f t="shared" si="12"/>
        <v>265120</v>
      </c>
      <c r="AT25" s="153">
        <f t="shared" si="12"/>
        <v>276880</v>
      </c>
      <c r="AU25" s="153">
        <f t="shared" si="12"/>
        <v>282560</v>
      </c>
      <c r="AV25" s="153">
        <f t="shared" si="12"/>
        <v>0</v>
      </c>
      <c r="AW25" s="153">
        <f t="shared" si="12"/>
        <v>0</v>
      </c>
      <c r="AX25" s="154">
        <f t="shared" si="12"/>
        <v>0</v>
      </c>
      <c r="AZ25" s="265"/>
      <c r="BC25" s="460">
        <f>IF($G25=BC$10,MATCH($F25,'kWh Summary All RSs'!$F$7:$F$40,0),0)</f>
        <v>0</v>
      </c>
      <c r="BD25" s="459">
        <f>IF($G25=BD$10,MATCH($F25,'kWh Summary All RSs'!$F$7:$F$40,0),0)</f>
        <v>0</v>
      </c>
      <c r="BE25" s="459">
        <f>IF($G25=BE$10,MATCH($F25,'kWh Summary All RSs'!$F$7:$F$40,0),0)</f>
        <v>14</v>
      </c>
    </row>
    <row r="26" spans="2:57" s="137" customFormat="1" ht="15" customHeight="1" x14ac:dyDescent="0.25">
      <c r="B26" s="265"/>
      <c r="D26" s="155">
        <f>'kWh Summary All RSs'!D21</f>
        <v>42712</v>
      </c>
      <c r="E26" s="156">
        <f>'kWh Summary All RSs'!E21</f>
        <v>43800</v>
      </c>
      <c r="F26" s="157">
        <f>'kWh Summary All RSs'!F21</f>
        <v>7374993453</v>
      </c>
      <c r="G26" s="158" t="str">
        <f>'kWh Summary All RSs'!I21</f>
        <v xml:space="preserve">RATE7   </v>
      </c>
      <c r="H26" s="159">
        <f t="shared" si="2"/>
        <v>4144308.2352941181</v>
      </c>
      <c r="I26" s="160">
        <f t="shared" si="2"/>
        <v>5064549.8292220114</v>
      </c>
      <c r="J26" s="160">
        <f t="shared" si="2"/>
        <v>5032701.935483871</v>
      </c>
      <c r="K26" s="161">
        <f t="shared" si="3"/>
        <v>14241560</v>
      </c>
      <c r="L26" s="152">
        <f t="shared" si="9"/>
        <v>310348.96551724139</v>
      </c>
      <c r="M26" s="153">
        <f t="shared" si="9"/>
        <v>281632.36781609198</v>
      </c>
      <c r="N26" s="153">
        <f t="shared" si="9"/>
        <v>301479.35632183909</v>
      </c>
      <c r="O26" s="153">
        <f t="shared" si="9"/>
        <v>279676.08453837602</v>
      </c>
      <c r="P26" s="153">
        <f t="shared" si="9"/>
        <v>298471.22580645164</v>
      </c>
      <c r="Q26" s="153">
        <f t="shared" si="8"/>
        <v>308544</v>
      </c>
      <c r="R26" s="153">
        <f t="shared" si="10"/>
        <v>352076.38709677418</v>
      </c>
      <c r="S26" s="153">
        <f t="shared" si="10"/>
        <v>387491.61290322582</v>
      </c>
      <c r="T26" s="153">
        <f t="shared" si="10"/>
        <v>389393.10344827588</v>
      </c>
      <c r="U26" s="153">
        <f t="shared" si="10"/>
        <v>422902.06896551722</v>
      </c>
      <c r="V26" s="153">
        <f t="shared" si="10"/>
        <v>355427.18052738335</v>
      </c>
      <c r="W26" s="153">
        <f t="shared" si="10"/>
        <v>456865.8823529412</v>
      </c>
      <c r="X26" s="153">
        <f t="shared" si="10"/>
        <v>460948.31643002032</v>
      </c>
      <c r="Y26" s="153">
        <f t="shared" si="10"/>
        <v>405833.44827586209</v>
      </c>
      <c r="Z26" s="153">
        <f t="shared" si="10"/>
        <v>456881.03448275861</v>
      </c>
      <c r="AA26" s="153">
        <f t="shared" si="10"/>
        <v>420595.86206896551</v>
      </c>
      <c r="AB26" s="153">
        <f t="shared" si="11"/>
        <v>417157.95193312434</v>
      </c>
      <c r="AC26" s="153">
        <f t="shared" si="11"/>
        <v>405168.48484848486</v>
      </c>
      <c r="AD26" s="153">
        <f t="shared" si="11"/>
        <v>408365.97701149422</v>
      </c>
      <c r="AE26" s="153">
        <f t="shared" si="11"/>
        <v>404768.56844305119</v>
      </c>
      <c r="AF26" s="153">
        <f t="shared" si="11"/>
        <v>394867.29362591432</v>
      </c>
      <c r="AG26" s="153">
        <f t="shared" si="11"/>
        <v>422758.62068965519</v>
      </c>
      <c r="AH26" s="153">
        <f t="shared" si="11"/>
        <v>423334.08568443049</v>
      </c>
      <c r="AI26" s="153">
        <f t="shared" si="11"/>
        <v>443870.18572825025</v>
      </c>
      <c r="AJ26" s="153">
        <f t="shared" si="11"/>
        <v>449176.77419354836</v>
      </c>
      <c r="AK26" s="153">
        <f t="shared" si="11"/>
        <v>418151.36818687432</v>
      </c>
      <c r="AL26" s="153">
        <f t="shared" si="12"/>
        <v>469053.79310344823</v>
      </c>
      <c r="AM26" s="153">
        <f t="shared" si="12"/>
        <v>456615.38461538462</v>
      </c>
      <c r="AN26" s="153">
        <f t="shared" si="12"/>
        <v>502904.61538461538</v>
      </c>
      <c r="AO26" s="153">
        <f t="shared" si="12"/>
        <v>445440</v>
      </c>
      <c r="AP26" s="153">
        <f t="shared" si="12"/>
        <v>431200</v>
      </c>
      <c r="AQ26" s="153">
        <f t="shared" si="12"/>
        <v>373120</v>
      </c>
      <c r="AR26" s="153">
        <f t="shared" si="12"/>
        <v>332320</v>
      </c>
      <c r="AS26" s="153">
        <f t="shared" si="12"/>
        <v>380640</v>
      </c>
      <c r="AT26" s="153">
        <f t="shared" si="12"/>
        <v>390400</v>
      </c>
      <c r="AU26" s="153">
        <f t="shared" si="12"/>
        <v>383680</v>
      </c>
      <c r="AV26" s="153">
        <f t="shared" si="12"/>
        <v>0</v>
      </c>
      <c r="AW26" s="153">
        <f t="shared" si="12"/>
        <v>0</v>
      </c>
      <c r="AX26" s="154">
        <f t="shared" si="12"/>
        <v>0</v>
      </c>
      <c r="AZ26" s="265"/>
      <c r="BC26" s="460">
        <f>IF($G26=BC$10,MATCH($F26,'kWh Summary All RSs'!$F$7:$F$40,0),0)</f>
        <v>0</v>
      </c>
      <c r="BD26" s="459">
        <f>IF($G26=BD$10,MATCH($F26,'kWh Summary All RSs'!$F$7:$F$40,0),0)</f>
        <v>0</v>
      </c>
      <c r="BE26" s="459">
        <f>IF($G26=BE$10,MATCH($F26,'kWh Summary All RSs'!$F$7:$F$40,0),0)</f>
        <v>15</v>
      </c>
    </row>
    <row r="27" spans="2:57" s="137" customFormat="1" ht="15" customHeight="1" x14ac:dyDescent="0.25">
      <c r="B27" s="265"/>
      <c r="D27" s="155">
        <f>'kWh Summary All RSs'!D22</f>
        <v>42712</v>
      </c>
      <c r="E27" s="156">
        <f>'kWh Summary All RSs'!E22</f>
        <v>43800</v>
      </c>
      <c r="F27" s="157">
        <f>'kWh Summary All RSs'!F22</f>
        <v>8544517434</v>
      </c>
      <c r="G27" s="158" t="str">
        <f>'kWh Summary All RSs'!I22</f>
        <v xml:space="preserve">RATE7   </v>
      </c>
      <c r="H27" s="159">
        <f t="shared" si="2"/>
        <v>3406495.5882352935</v>
      </c>
      <c r="I27" s="160">
        <f t="shared" si="2"/>
        <v>4755877.7988614794</v>
      </c>
      <c r="J27" s="160">
        <f t="shared" si="2"/>
        <v>5188451.6129032262</v>
      </c>
      <c r="K27" s="161">
        <f t="shared" si="3"/>
        <v>13350825</v>
      </c>
      <c r="L27" s="152">
        <f t="shared" si="9"/>
        <v>270607.75862068968</v>
      </c>
      <c r="M27" s="153">
        <f t="shared" si="9"/>
        <v>248677.24137931035</v>
      </c>
      <c r="N27" s="153">
        <f t="shared" si="9"/>
        <v>271853.79310344829</v>
      </c>
      <c r="O27" s="153">
        <f t="shared" si="9"/>
        <v>214734.59399332595</v>
      </c>
      <c r="P27" s="153">
        <f t="shared" si="9"/>
        <v>213911.61290322582</v>
      </c>
      <c r="Q27" s="153">
        <f t="shared" si="8"/>
        <v>240120</v>
      </c>
      <c r="R27" s="153">
        <f t="shared" si="10"/>
        <v>286958.70967741939</v>
      </c>
      <c r="S27" s="153">
        <f t="shared" si="10"/>
        <v>294461.29032258067</v>
      </c>
      <c r="T27" s="153">
        <f t="shared" si="10"/>
        <v>291896.55172413797</v>
      </c>
      <c r="U27" s="153">
        <f t="shared" si="10"/>
        <v>316179.31034482759</v>
      </c>
      <c r="V27" s="153">
        <f t="shared" si="10"/>
        <v>265606.49087221094</v>
      </c>
      <c r="W27" s="153">
        <f t="shared" si="10"/>
        <v>491488.23529411771</v>
      </c>
      <c r="X27" s="153">
        <f t="shared" si="10"/>
        <v>459808.7221095335</v>
      </c>
      <c r="Y27" s="153">
        <f t="shared" si="10"/>
        <v>385033.18965517241</v>
      </c>
      <c r="Z27" s="153">
        <f t="shared" si="10"/>
        <v>427801.29310344823</v>
      </c>
      <c r="AA27" s="153">
        <f t="shared" si="10"/>
        <v>392896.55172413791</v>
      </c>
      <c r="AB27" s="153">
        <f t="shared" si="11"/>
        <v>382889.6551724138</v>
      </c>
      <c r="AC27" s="153">
        <f t="shared" si="11"/>
        <v>354200</v>
      </c>
      <c r="AD27" s="153">
        <f t="shared" si="11"/>
        <v>352024.13793103449</v>
      </c>
      <c r="AE27" s="153">
        <f t="shared" si="11"/>
        <v>356257.68025078368</v>
      </c>
      <c r="AF27" s="153">
        <f t="shared" si="11"/>
        <v>356852.66457680252</v>
      </c>
      <c r="AG27" s="153">
        <f t="shared" si="11"/>
        <v>401596.55172413791</v>
      </c>
      <c r="AH27" s="153">
        <f t="shared" si="11"/>
        <v>428859.87460815045</v>
      </c>
      <c r="AI27" s="153">
        <f t="shared" si="11"/>
        <v>457657.47800586512</v>
      </c>
      <c r="AJ27" s="153">
        <f t="shared" si="11"/>
        <v>463858.06451612903</v>
      </c>
      <c r="AK27" s="153">
        <f t="shared" si="11"/>
        <v>424103.89321468299</v>
      </c>
      <c r="AL27" s="153">
        <f t="shared" si="12"/>
        <v>463189.6551724138</v>
      </c>
      <c r="AM27" s="153">
        <f t="shared" si="12"/>
        <v>480600</v>
      </c>
      <c r="AN27" s="153">
        <f t="shared" si="12"/>
        <v>501900</v>
      </c>
      <c r="AO27" s="153">
        <f t="shared" si="12"/>
        <v>473100</v>
      </c>
      <c r="AP27" s="153">
        <f t="shared" si="12"/>
        <v>467100</v>
      </c>
      <c r="AQ27" s="153">
        <f t="shared" si="12"/>
        <v>418800</v>
      </c>
      <c r="AR27" s="153">
        <f t="shared" si="12"/>
        <v>309600</v>
      </c>
      <c r="AS27" s="153">
        <f t="shared" si="12"/>
        <v>385200</v>
      </c>
      <c r="AT27" s="153">
        <f t="shared" si="12"/>
        <v>409800</v>
      </c>
      <c r="AU27" s="153">
        <f t="shared" si="12"/>
        <v>391200</v>
      </c>
      <c r="AV27" s="153">
        <f t="shared" si="12"/>
        <v>0</v>
      </c>
      <c r="AW27" s="153">
        <f t="shared" si="12"/>
        <v>0</v>
      </c>
      <c r="AX27" s="154">
        <f t="shared" si="12"/>
        <v>0</v>
      </c>
      <c r="AZ27" s="265"/>
      <c r="BC27" s="460">
        <f>IF($G27=BC$10,MATCH($F27,'kWh Summary All RSs'!$F$7:$F$40,0),0)</f>
        <v>0</v>
      </c>
      <c r="BD27" s="459">
        <f>IF($G27=BD$10,MATCH($F27,'kWh Summary All RSs'!$F$7:$F$40,0),0)</f>
        <v>0</v>
      </c>
      <c r="BE27" s="459">
        <f>IF($G27=BE$10,MATCH($F27,'kWh Summary All RSs'!$F$7:$F$40,0),0)</f>
        <v>16</v>
      </c>
    </row>
    <row r="28" spans="2:57" s="137" customFormat="1" ht="15" customHeight="1" x14ac:dyDescent="0.25">
      <c r="B28" s="265"/>
      <c r="D28" s="155">
        <f>'kWh Summary All RSs'!D23</f>
        <v>43556</v>
      </c>
      <c r="E28" s="156">
        <f>'kWh Summary All RSs'!E23</f>
        <v>43800</v>
      </c>
      <c r="F28" s="157">
        <f>'kWh Summary All RSs'!F23</f>
        <v>6278239538</v>
      </c>
      <c r="G28" s="158" t="str">
        <f>'kWh Summary All RSs'!I23</f>
        <v xml:space="preserve">RATE7   </v>
      </c>
      <c r="H28" s="159">
        <f t="shared" si="2"/>
        <v>0</v>
      </c>
      <c r="I28" s="160">
        <f t="shared" si="2"/>
        <v>0</v>
      </c>
      <c r="J28" s="160">
        <f t="shared" si="2"/>
        <v>19795500</v>
      </c>
      <c r="K28" s="161">
        <f t="shared" si="3"/>
        <v>19795500</v>
      </c>
      <c r="L28" s="152" t="str">
        <f t="shared" si="9"/>
        <v/>
      </c>
      <c r="M28" s="153" t="str">
        <f t="shared" si="9"/>
        <v/>
      </c>
      <c r="N28" s="153" t="str">
        <f t="shared" si="9"/>
        <v/>
      </c>
      <c r="O28" s="153" t="str">
        <f t="shared" si="9"/>
        <v/>
      </c>
      <c r="P28" s="153" t="str">
        <f t="shared" si="9"/>
        <v/>
      </c>
      <c r="Q28" s="153" t="str">
        <f t="shared" si="8"/>
        <v/>
      </c>
      <c r="R28" s="153" t="str">
        <f t="shared" si="10"/>
        <v/>
      </c>
      <c r="S28" s="153" t="str">
        <f t="shared" si="10"/>
        <v/>
      </c>
      <c r="T28" s="153" t="str">
        <f t="shared" si="10"/>
        <v/>
      </c>
      <c r="U28" s="153" t="str">
        <f t="shared" si="10"/>
        <v/>
      </c>
      <c r="V28" s="153" t="str">
        <f t="shared" si="10"/>
        <v/>
      </c>
      <c r="W28" s="153" t="str">
        <f t="shared" si="10"/>
        <v/>
      </c>
      <c r="X28" s="153" t="str">
        <f t="shared" si="10"/>
        <v/>
      </c>
      <c r="Y28" s="153" t="str">
        <f t="shared" si="10"/>
        <v/>
      </c>
      <c r="Z28" s="153" t="str">
        <f t="shared" si="10"/>
        <v/>
      </c>
      <c r="AA28" s="153" t="str">
        <f t="shared" si="10"/>
        <v/>
      </c>
      <c r="AB28" s="153" t="str">
        <f t="shared" si="11"/>
        <v/>
      </c>
      <c r="AC28" s="153" t="str">
        <f t="shared" si="11"/>
        <v/>
      </c>
      <c r="AD28" s="153" t="str">
        <f t="shared" si="11"/>
        <v/>
      </c>
      <c r="AE28" s="153" t="str">
        <f t="shared" si="11"/>
        <v/>
      </c>
      <c r="AF28" s="153" t="str">
        <f t="shared" si="11"/>
        <v/>
      </c>
      <c r="AG28" s="153" t="str">
        <f t="shared" si="11"/>
        <v/>
      </c>
      <c r="AH28" s="153" t="str">
        <f t="shared" si="11"/>
        <v/>
      </c>
      <c r="AI28" s="153" t="str">
        <f t="shared" si="11"/>
        <v/>
      </c>
      <c r="AJ28" s="153" t="str">
        <f t="shared" si="11"/>
        <v/>
      </c>
      <c r="AK28" s="153" t="str">
        <f t="shared" si="11"/>
        <v/>
      </c>
      <c r="AL28" s="153" t="str">
        <f t="shared" si="12"/>
        <v/>
      </c>
      <c r="AM28" s="153">
        <f t="shared" si="12"/>
        <v>675000</v>
      </c>
      <c r="AN28" s="153">
        <f t="shared" si="12"/>
        <v>2366700</v>
      </c>
      <c r="AO28" s="153">
        <f t="shared" si="12"/>
        <v>2364600</v>
      </c>
      <c r="AP28" s="153">
        <f t="shared" si="12"/>
        <v>2496900</v>
      </c>
      <c r="AQ28" s="153">
        <f t="shared" si="12"/>
        <v>2492700</v>
      </c>
      <c r="AR28" s="153">
        <f t="shared" si="12"/>
        <v>2394000</v>
      </c>
      <c r="AS28" s="153">
        <f t="shared" si="12"/>
        <v>2419200</v>
      </c>
      <c r="AT28" s="153">
        <f t="shared" si="12"/>
        <v>2259600</v>
      </c>
      <c r="AU28" s="153">
        <f t="shared" si="12"/>
        <v>2326800</v>
      </c>
      <c r="AV28" s="153">
        <f t="shared" si="12"/>
        <v>0</v>
      </c>
      <c r="AW28" s="153">
        <f t="shared" si="12"/>
        <v>0</v>
      </c>
      <c r="AX28" s="154">
        <f t="shared" si="12"/>
        <v>0</v>
      </c>
      <c r="AZ28" s="265"/>
      <c r="BC28" s="460">
        <f>IF($G28=BC$10,MATCH($F28,'kWh Summary All RSs'!$F$7:$F$40,0),0)</f>
        <v>0</v>
      </c>
      <c r="BD28" s="459">
        <f>IF($G28=BD$10,MATCH($F28,'kWh Summary All RSs'!$F$7:$F$40,0),0)</f>
        <v>0</v>
      </c>
      <c r="BE28" s="459">
        <f>IF($G28=BE$10,MATCH($F28,'kWh Summary All RSs'!$F$7:$F$40,0),0)</f>
        <v>17</v>
      </c>
    </row>
    <row r="29" spans="2:57" s="137" customFormat="1" ht="15" customHeight="1" x14ac:dyDescent="0.25">
      <c r="B29" s="265"/>
      <c r="D29" s="155">
        <f>'kWh Summary All RSs'!D24</f>
        <v>42705</v>
      </c>
      <c r="E29" s="156">
        <f>'kWh Summary All RSs'!E24</f>
        <v>43803</v>
      </c>
      <c r="F29" s="157">
        <f>'kWh Summary All RSs'!F24</f>
        <v>2260246826</v>
      </c>
      <c r="G29" s="158" t="str">
        <f>'kWh Summary All RSs'!I24</f>
        <v xml:space="preserve">RATE7   </v>
      </c>
      <c r="H29" s="159">
        <f t="shared" si="2"/>
        <v>13411489.317154659</v>
      </c>
      <c r="I29" s="160">
        <f t="shared" si="2"/>
        <v>16888431.119544592</v>
      </c>
      <c r="J29" s="160">
        <f t="shared" si="2"/>
        <v>16124940.645161292</v>
      </c>
      <c r="K29" s="161">
        <f t="shared" si="3"/>
        <v>46424861.081860542</v>
      </c>
      <c r="L29" s="152">
        <f t="shared" si="9"/>
        <v>786331.03448275861</v>
      </c>
      <c r="M29" s="153">
        <f t="shared" si="9"/>
        <v>740250</v>
      </c>
      <c r="N29" s="153">
        <f t="shared" si="9"/>
        <v>916451.42857142864</v>
      </c>
      <c r="O29" s="153">
        <f t="shared" si="9"/>
        <v>889071.42857142864</v>
      </c>
      <c r="P29" s="153">
        <f t="shared" si="9"/>
        <v>942206.25</v>
      </c>
      <c r="Q29" s="153">
        <f t="shared" si="8"/>
        <v>1163400</v>
      </c>
      <c r="R29" s="153">
        <f t="shared" si="10"/>
        <v>1390350</v>
      </c>
      <c r="S29" s="153">
        <f t="shared" si="10"/>
        <v>1428254.5454545454</v>
      </c>
      <c r="T29" s="153">
        <f t="shared" si="10"/>
        <v>1471354.8387096776</v>
      </c>
      <c r="U29" s="153">
        <f t="shared" si="10"/>
        <v>1147885.7142857143</v>
      </c>
      <c r="V29" s="153">
        <f t="shared" si="10"/>
        <v>1072551.7241379311</v>
      </c>
      <c r="W29" s="153">
        <f t="shared" si="10"/>
        <v>1463382.3529411764</v>
      </c>
      <c r="X29" s="153">
        <f t="shared" si="10"/>
        <v>1194211.7647058824</v>
      </c>
      <c r="Y29" s="153">
        <f t="shared" si="10"/>
        <v>1076775</v>
      </c>
      <c r="Z29" s="153">
        <f t="shared" si="10"/>
        <v>1526914.6551724137</v>
      </c>
      <c r="AA29" s="153">
        <f t="shared" si="10"/>
        <v>1388937.931034483</v>
      </c>
      <c r="AB29" s="153">
        <f t="shared" si="11"/>
        <v>1460336.0501567398</v>
      </c>
      <c r="AC29" s="153">
        <f t="shared" si="11"/>
        <v>1501677.7429467086</v>
      </c>
      <c r="AD29" s="153">
        <f t="shared" si="11"/>
        <v>1530458.6206896552</v>
      </c>
      <c r="AE29" s="153">
        <f t="shared" si="11"/>
        <v>1543300</v>
      </c>
      <c r="AF29" s="153">
        <f t="shared" si="11"/>
        <v>1483386.2068965517</v>
      </c>
      <c r="AG29" s="153">
        <f t="shared" si="11"/>
        <v>1477613.7931034483</v>
      </c>
      <c r="AH29" s="153">
        <f t="shared" si="11"/>
        <v>1323818.1818181819</v>
      </c>
      <c r="AI29" s="153">
        <f t="shared" si="11"/>
        <v>1381001.1730205277</v>
      </c>
      <c r="AJ29" s="153">
        <f t="shared" si="11"/>
        <v>1395948.3870967743</v>
      </c>
      <c r="AK29" s="153">
        <f t="shared" si="11"/>
        <v>1284542.6028921024</v>
      </c>
      <c r="AL29" s="153">
        <f t="shared" si="12"/>
        <v>513475.86206896551</v>
      </c>
      <c r="AM29" s="153">
        <f t="shared" si="12"/>
        <v>1323053.7931034483</v>
      </c>
      <c r="AN29" s="153">
        <f t="shared" si="12"/>
        <v>1453650.9090909092</v>
      </c>
      <c r="AO29" s="153">
        <f t="shared" si="12"/>
        <v>1397266.2337662338</v>
      </c>
      <c r="AP29" s="153">
        <f t="shared" si="12"/>
        <v>1468170.1298701297</v>
      </c>
      <c r="AQ29" s="153">
        <f t="shared" si="12"/>
        <v>1510234.0175953079</v>
      </c>
      <c r="AR29" s="153">
        <f t="shared" si="12"/>
        <v>1454781.5668202764</v>
      </c>
      <c r="AS29" s="153">
        <f t="shared" si="12"/>
        <v>1462757.142857143</v>
      </c>
      <c r="AT29" s="153">
        <f t="shared" si="12"/>
        <v>1409220</v>
      </c>
      <c r="AU29" s="153">
        <f t="shared" si="12"/>
        <v>1451840</v>
      </c>
      <c r="AV29" s="153">
        <f t="shared" si="12"/>
        <v>0</v>
      </c>
      <c r="AW29" s="153">
        <f t="shared" si="12"/>
        <v>0</v>
      </c>
      <c r="AX29" s="154">
        <f t="shared" si="12"/>
        <v>0</v>
      </c>
      <c r="AZ29" s="265"/>
      <c r="BC29" s="460">
        <f>IF($G29=BC$10,MATCH($F29,'kWh Summary All RSs'!$F$7:$F$40,0),0)</f>
        <v>0</v>
      </c>
      <c r="BD29" s="459">
        <f>IF($G29=BD$10,MATCH($F29,'kWh Summary All RSs'!$F$7:$F$40,0),0)</f>
        <v>0</v>
      </c>
      <c r="BE29" s="459">
        <f>IF($G29=BE$10,MATCH($F29,'kWh Summary All RSs'!$F$7:$F$40,0),0)</f>
        <v>18</v>
      </c>
    </row>
    <row r="30" spans="2:57" s="137" customFormat="1" ht="15" customHeight="1" x14ac:dyDescent="0.25">
      <c r="B30" s="265"/>
      <c r="D30" s="155">
        <f>'kWh Summary All RSs'!D25</f>
        <v>43088</v>
      </c>
      <c r="E30" s="156">
        <f>'kWh Summary All RSs'!E25</f>
        <v>43800</v>
      </c>
      <c r="F30" s="157">
        <f>'kWh Summary All RSs'!F25</f>
        <v>5414207710</v>
      </c>
      <c r="G30" s="158" t="str">
        <f>'kWh Summary All RSs'!I25</f>
        <v xml:space="preserve">RATE7   </v>
      </c>
      <c r="H30" s="159">
        <f t="shared" si="2"/>
        <v>116951.5294117647</v>
      </c>
      <c r="I30" s="160">
        <f t="shared" si="2"/>
        <v>3873923.1372549022</v>
      </c>
      <c r="J30" s="160">
        <f t="shared" si="2"/>
        <v>1946133.3333333335</v>
      </c>
      <c r="K30" s="161">
        <f t="shared" si="3"/>
        <v>5937008</v>
      </c>
      <c r="L30" s="152" t="str">
        <f t="shared" si="9"/>
        <v/>
      </c>
      <c r="M30" s="153" t="str">
        <f t="shared" si="9"/>
        <v/>
      </c>
      <c r="N30" s="153" t="str">
        <f t="shared" si="9"/>
        <v/>
      </c>
      <c r="O30" s="153" t="str">
        <f t="shared" si="9"/>
        <v/>
      </c>
      <c r="P30" s="153" t="str">
        <f t="shared" si="9"/>
        <v/>
      </c>
      <c r="Q30" s="153" t="str">
        <f t="shared" si="8"/>
        <v/>
      </c>
      <c r="R30" s="153" t="str">
        <f t="shared" si="10"/>
        <v/>
      </c>
      <c r="S30" s="153" t="str">
        <f t="shared" si="10"/>
        <v/>
      </c>
      <c r="T30" s="153" t="str">
        <f t="shared" si="10"/>
        <v/>
      </c>
      <c r="U30" s="153" t="str">
        <f t="shared" si="10"/>
        <v/>
      </c>
      <c r="V30" s="153" t="str">
        <f t="shared" si="10"/>
        <v/>
      </c>
      <c r="W30" s="153">
        <f t="shared" si="10"/>
        <v>116951.5294117647</v>
      </c>
      <c r="X30" s="153">
        <f t="shared" si="10"/>
        <v>322429.80392156867</v>
      </c>
      <c r="Y30" s="153">
        <f t="shared" si="10"/>
        <v>377850.11494252877</v>
      </c>
      <c r="Z30" s="153">
        <f t="shared" si="10"/>
        <v>428303.44827586203</v>
      </c>
      <c r="AA30" s="153">
        <f t="shared" si="10"/>
        <v>421875.68409343716</v>
      </c>
      <c r="AB30" s="153">
        <f t="shared" si="11"/>
        <v>441569.03225806454</v>
      </c>
      <c r="AC30" s="153">
        <f t="shared" si="11"/>
        <v>429448.38709677418</v>
      </c>
      <c r="AD30" s="153">
        <f t="shared" si="11"/>
        <v>428900</v>
      </c>
      <c r="AE30" s="153">
        <f t="shared" si="11"/>
        <v>114960</v>
      </c>
      <c r="AF30" s="153">
        <f t="shared" si="11"/>
        <v>800</v>
      </c>
      <c r="AG30" s="153">
        <f t="shared" si="11"/>
        <v>133013.33333333334</v>
      </c>
      <c r="AH30" s="153">
        <f t="shared" si="11"/>
        <v>399040</v>
      </c>
      <c r="AI30" s="153">
        <f t="shared" si="11"/>
        <v>375733.33333333337</v>
      </c>
      <c r="AJ30" s="153">
        <f t="shared" si="11"/>
        <v>280277.33333333337</v>
      </c>
      <c r="AK30" s="153">
        <f t="shared" si="11"/>
        <v>184456</v>
      </c>
      <c r="AL30" s="153">
        <f t="shared" si="12"/>
        <v>179960</v>
      </c>
      <c r="AM30" s="153">
        <f t="shared" si="12"/>
        <v>52480</v>
      </c>
      <c r="AN30" s="153">
        <f t="shared" si="12"/>
        <v>1440</v>
      </c>
      <c r="AO30" s="153">
        <f t="shared" si="12"/>
        <v>2720</v>
      </c>
      <c r="AP30" s="153">
        <f t="shared" si="12"/>
        <v>254400</v>
      </c>
      <c r="AQ30" s="153">
        <f t="shared" si="12"/>
        <v>218080</v>
      </c>
      <c r="AR30" s="153">
        <f t="shared" si="12"/>
        <v>181280</v>
      </c>
      <c r="AS30" s="153">
        <f t="shared" si="12"/>
        <v>196160</v>
      </c>
      <c r="AT30" s="153">
        <f t="shared" si="12"/>
        <v>199200</v>
      </c>
      <c r="AU30" s="153">
        <f t="shared" si="12"/>
        <v>195680</v>
      </c>
      <c r="AV30" s="153">
        <f t="shared" si="12"/>
        <v>0</v>
      </c>
      <c r="AW30" s="153">
        <f t="shared" si="12"/>
        <v>0</v>
      </c>
      <c r="AX30" s="154">
        <f t="shared" si="12"/>
        <v>0</v>
      </c>
      <c r="AZ30" s="265"/>
      <c r="BC30" s="460">
        <f>IF($G30=BC$10,MATCH($F30,'kWh Summary All RSs'!$F$7:$F$40,0),0)</f>
        <v>0</v>
      </c>
      <c r="BD30" s="459">
        <f>IF($G30=BD$10,MATCH($F30,'kWh Summary All RSs'!$F$7:$F$40,0),0)</f>
        <v>0</v>
      </c>
      <c r="BE30" s="459">
        <f>IF($G30=BE$10,MATCH($F30,'kWh Summary All RSs'!$F$7:$F$40,0),0)</f>
        <v>19</v>
      </c>
    </row>
    <row r="31" spans="2:57" s="137" customFormat="1" ht="15" customHeight="1" x14ac:dyDescent="0.25">
      <c r="B31" s="265"/>
      <c r="D31" s="155">
        <f>'kWh Summary All RSs'!D26</f>
        <v>42724</v>
      </c>
      <c r="E31" s="156">
        <f>'kWh Summary All RSs'!E26</f>
        <v>43822</v>
      </c>
      <c r="F31" s="157">
        <f>'kWh Summary All RSs'!F26</f>
        <v>4757134854</v>
      </c>
      <c r="G31" s="158" t="str">
        <f>'kWh Summary All RSs'!I26</f>
        <v xml:space="preserve">RATE7   </v>
      </c>
      <c r="H31" s="159">
        <f t="shared" si="2"/>
        <v>1396880</v>
      </c>
      <c r="I31" s="160">
        <f t="shared" si="2"/>
        <v>1283786.6666666665</v>
      </c>
      <c r="J31" s="160">
        <f t="shared" si="2"/>
        <v>698278.89237199584</v>
      </c>
      <c r="K31" s="161">
        <f t="shared" si="3"/>
        <v>3378945.5590386624</v>
      </c>
      <c r="L31" s="152">
        <f t="shared" si="9"/>
        <v>119933.79310344828</v>
      </c>
      <c r="M31" s="153">
        <f t="shared" si="9"/>
        <v>64086.206896551725</v>
      </c>
      <c r="N31" s="153">
        <f t="shared" si="9"/>
        <v>96026.896551724145</v>
      </c>
      <c r="O31" s="153">
        <f t="shared" si="9"/>
        <v>123757.24137931033</v>
      </c>
      <c r="P31" s="153">
        <f t="shared" si="9"/>
        <v>130900.86206896551</v>
      </c>
      <c r="Q31" s="153">
        <f t="shared" si="8"/>
        <v>122431</v>
      </c>
      <c r="R31" s="153">
        <f t="shared" si="10"/>
        <v>118544</v>
      </c>
      <c r="S31" s="153">
        <f t="shared" si="10"/>
        <v>100902.5</v>
      </c>
      <c r="T31" s="153">
        <f t="shared" si="10"/>
        <v>94294.741379310348</v>
      </c>
      <c r="U31" s="153">
        <f t="shared" si="10"/>
        <v>124082.75862068965</v>
      </c>
      <c r="V31" s="153">
        <f t="shared" si="10"/>
        <v>147672.72727272729</v>
      </c>
      <c r="W31" s="153">
        <f t="shared" si="10"/>
        <v>154247.27272727274</v>
      </c>
      <c r="X31" s="153">
        <f t="shared" si="10"/>
        <v>148133.33333333331</v>
      </c>
      <c r="Y31" s="153">
        <f t="shared" si="10"/>
        <v>127919.08045977011</v>
      </c>
      <c r="Z31" s="153">
        <f t="shared" si="10"/>
        <v>142259.31034482759</v>
      </c>
      <c r="AA31" s="153">
        <f t="shared" si="10"/>
        <v>134072.79199110123</v>
      </c>
      <c r="AB31" s="153">
        <f t="shared" si="11"/>
        <v>130578.06451612903</v>
      </c>
      <c r="AC31" s="153">
        <f t="shared" si="11"/>
        <v>126627.41935483871</v>
      </c>
      <c r="AD31" s="153">
        <f t="shared" si="11"/>
        <v>132490</v>
      </c>
      <c r="AE31" s="153">
        <f t="shared" si="11"/>
        <v>27920</v>
      </c>
      <c r="AF31" s="153">
        <f t="shared" si="11"/>
        <v>17651.612903225807</v>
      </c>
      <c r="AG31" s="153">
        <f t="shared" si="11"/>
        <v>50295.053763440868</v>
      </c>
      <c r="AH31" s="153">
        <f t="shared" si="11"/>
        <v>88666.666666666657</v>
      </c>
      <c r="AI31" s="153">
        <f t="shared" si="11"/>
        <v>157173.33333333331</v>
      </c>
      <c r="AJ31" s="153">
        <f t="shared" si="11"/>
        <v>108429.33333333334</v>
      </c>
      <c r="AK31" s="153">
        <f t="shared" si="11"/>
        <v>49804</v>
      </c>
      <c r="AL31" s="153">
        <f t="shared" si="12"/>
        <v>46903.870967741939</v>
      </c>
      <c r="AM31" s="153">
        <f t="shared" si="12"/>
        <v>23036.129032258064</v>
      </c>
      <c r="AN31" s="153">
        <f t="shared" si="12"/>
        <v>16762.42424242424</v>
      </c>
      <c r="AO31" s="153" t="str">
        <f t="shared" si="12"/>
        <v/>
      </c>
      <c r="AP31" s="153">
        <f t="shared" si="12"/>
        <v>76915.862068965507</v>
      </c>
      <c r="AQ31" s="153">
        <f t="shared" si="12"/>
        <v>129847.27272727274</v>
      </c>
      <c r="AR31" s="153" t="str">
        <f t="shared" si="12"/>
        <v/>
      </c>
      <c r="AS31" s="153">
        <f t="shared" si="12"/>
        <v>83552.903225806454</v>
      </c>
      <c r="AT31" s="153">
        <f t="shared" si="12"/>
        <v>93251.612903225818</v>
      </c>
      <c r="AU31" s="153">
        <f t="shared" si="12"/>
        <v>69775.483870967742</v>
      </c>
      <c r="AV31" s="153">
        <f t="shared" si="12"/>
        <v>0</v>
      </c>
      <c r="AW31" s="153">
        <f t="shared" si="12"/>
        <v>0</v>
      </c>
      <c r="AX31" s="154">
        <f t="shared" si="12"/>
        <v>0</v>
      </c>
      <c r="AZ31" s="265"/>
      <c r="BC31" s="460">
        <f>IF($G31=BC$10,MATCH($F31,'kWh Summary All RSs'!$F$7:$F$40,0),0)</f>
        <v>0</v>
      </c>
      <c r="BD31" s="459">
        <f>IF($G31=BD$10,MATCH($F31,'kWh Summary All RSs'!$F$7:$F$40,0),0)</f>
        <v>0</v>
      </c>
      <c r="BE31" s="459">
        <f>IF($G31=BE$10,MATCH($F31,'kWh Summary All RSs'!$F$7:$F$40,0),0)</f>
        <v>20</v>
      </c>
    </row>
    <row r="32" spans="2:57" s="137" customFormat="1" ht="15" customHeight="1" x14ac:dyDescent="0.25">
      <c r="B32" s="265"/>
      <c r="D32" s="155">
        <f>'kWh Summary All RSs'!D27</f>
        <v>43132</v>
      </c>
      <c r="E32" s="156">
        <f>'kWh Summary All RSs'!E27</f>
        <v>43831</v>
      </c>
      <c r="F32" s="157">
        <f>'kWh Summary All RSs'!F27</f>
        <v>494209150</v>
      </c>
      <c r="G32" s="158" t="str">
        <f>'kWh Summary All RSs'!I27</f>
        <v xml:space="preserve">RATE7   </v>
      </c>
      <c r="H32" s="159">
        <f t="shared" ref="H32:J45" si="13">SUMIF($L$10:$AX$10,H$10,$L32:$AX32)</f>
        <v>0</v>
      </c>
      <c r="I32" s="160">
        <f t="shared" si="13"/>
        <v>24380851.612903226</v>
      </c>
      <c r="J32" s="160">
        <f t="shared" si="13"/>
        <v>16759377.299563617</v>
      </c>
      <c r="K32" s="161">
        <f t="shared" si="3"/>
        <v>41140228.912466839</v>
      </c>
      <c r="L32" s="152" t="str">
        <f t="shared" ref="L32:P42" si="14">IF(L$11=0,0,INDEX(KWH_Actual_Monthly,SUM($BC32:$BE32),MATCH(L$11,KWh_Month)))</f>
        <v/>
      </c>
      <c r="M32" s="153" t="str">
        <f t="shared" si="14"/>
        <v/>
      </c>
      <c r="N32" s="153" t="str">
        <f t="shared" si="14"/>
        <v/>
      </c>
      <c r="O32" s="153" t="str">
        <f t="shared" si="14"/>
        <v/>
      </c>
      <c r="P32" s="153" t="str">
        <f t="shared" si="14"/>
        <v/>
      </c>
      <c r="Q32" s="153" t="str">
        <f t="shared" si="8"/>
        <v/>
      </c>
      <c r="R32" s="153" t="str">
        <f t="shared" ref="R32:AA45" si="15">IF(R$11=0,0,INDEX(KWH_Actual_Monthly,SUM($BC32:$BE32),MATCH(R$11,KWh_Month)))</f>
        <v/>
      </c>
      <c r="S32" s="153" t="str">
        <f t="shared" si="15"/>
        <v/>
      </c>
      <c r="T32" s="153" t="str">
        <f t="shared" si="15"/>
        <v/>
      </c>
      <c r="U32" s="153" t="str">
        <f t="shared" si="15"/>
        <v/>
      </c>
      <c r="V32" s="153" t="str">
        <f t="shared" si="15"/>
        <v/>
      </c>
      <c r="W32" s="153" t="str">
        <f t="shared" si="15"/>
        <v/>
      </c>
      <c r="X32" s="153" t="str">
        <f t="shared" si="15"/>
        <v/>
      </c>
      <c r="Y32" s="153">
        <f t="shared" si="15"/>
        <v>1676500</v>
      </c>
      <c r="Z32" s="153">
        <f t="shared" si="15"/>
        <v>2151658.6206896557</v>
      </c>
      <c r="AA32" s="153">
        <f t="shared" si="15"/>
        <v>2242220.6896551726</v>
      </c>
      <c r="AB32" s="153">
        <f t="shared" ref="AB32:AK45" si="16">IF(AB$11=0,0,INDEX(KWH_Actual_Monthly,SUM($BC32:$BE32),MATCH(AB$11,KWh_Month)))</f>
        <v>2417475.2351097181</v>
      </c>
      <c r="AC32" s="153">
        <f t="shared" si="16"/>
        <v>2369293.7304075235</v>
      </c>
      <c r="AD32" s="153">
        <f t="shared" si="16"/>
        <v>2452051.7241379311</v>
      </c>
      <c r="AE32" s="153">
        <f t="shared" si="16"/>
        <v>2238281.8181818184</v>
      </c>
      <c r="AF32" s="153">
        <f t="shared" si="16"/>
        <v>2339235.423197492</v>
      </c>
      <c r="AG32" s="153">
        <f t="shared" si="16"/>
        <v>2137582.7586206896</v>
      </c>
      <c r="AH32" s="153">
        <f t="shared" si="16"/>
        <v>1956818.1818181819</v>
      </c>
      <c r="AI32" s="153">
        <f t="shared" si="16"/>
        <v>2399733.4310850441</v>
      </c>
      <c r="AJ32" s="153">
        <f t="shared" si="16"/>
        <v>777948.38709677418</v>
      </c>
      <c r="AK32" s="153">
        <f t="shared" si="16"/>
        <v>0</v>
      </c>
      <c r="AL32" s="153">
        <f t="shared" ref="AL32:AX45" si="17">IF(AL$11=0,0,INDEX(KWH_Actual_Monthly,SUM($BC32:$BE32),MATCH(AL$11,KWh_Month)))</f>
        <v>420646.15384615387</v>
      </c>
      <c r="AM32" s="153">
        <f t="shared" si="17"/>
        <v>1125600</v>
      </c>
      <c r="AN32" s="153">
        <f t="shared" si="17"/>
        <v>2026500</v>
      </c>
      <c r="AO32" s="153">
        <f t="shared" si="17"/>
        <v>2076827.5862068965</v>
      </c>
      <c r="AP32" s="153">
        <f t="shared" si="17"/>
        <v>2146055.1724137929</v>
      </c>
      <c r="AQ32" s="153">
        <f t="shared" si="17"/>
        <v>2018100</v>
      </c>
      <c r="AR32" s="153">
        <f t="shared" si="17"/>
        <v>1568700</v>
      </c>
      <c r="AS32" s="153">
        <f t="shared" si="17"/>
        <v>1564500</v>
      </c>
      <c r="AT32" s="153">
        <f t="shared" si="17"/>
        <v>1568700</v>
      </c>
      <c r="AU32" s="153">
        <f t="shared" si="17"/>
        <v>1465800</v>
      </c>
      <c r="AV32" s="153">
        <f t="shared" si="17"/>
        <v>0</v>
      </c>
      <c r="AW32" s="153">
        <f t="shared" si="17"/>
        <v>0</v>
      </c>
      <c r="AX32" s="154">
        <f t="shared" si="17"/>
        <v>0</v>
      </c>
      <c r="AZ32" s="265"/>
      <c r="BC32" s="460">
        <f>IF($G32=BC$10,MATCH($F32,'kWh Summary All RSs'!$F$7:$F$40,0),0)</f>
        <v>0</v>
      </c>
      <c r="BD32" s="459">
        <f>IF($G32=BD$10,MATCH($F32,'kWh Summary All RSs'!$F$7:$F$40,0),0)</f>
        <v>0</v>
      </c>
      <c r="BE32" s="459">
        <f>IF($G32=BE$10,MATCH($F32,'kWh Summary All RSs'!$F$7:$F$40,0),0)</f>
        <v>21</v>
      </c>
    </row>
    <row r="33" spans="2:57" s="137" customFormat="1" ht="15" customHeight="1" x14ac:dyDescent="0.25">
      <c r="B33" s="265"/>
      <c r="D33" s="155">
        <f>'kWh Summary All RSs'!D28</f>
        <v>43290</v>
      </c>
      <c r="E33" s="156">
        <f>'kWh Summary All RSs'!E28</f>
        <v>43800</v>
      </c>
      <c r="F33" s="157">
        <f>'kWh Summary All RSs'!F28</f>
        <v>4831874580</v>
      </c>
      <c r="G33" s="158" t="str">
        <f>'kWh Summary All RSs'!I28</f>
        <v xml:space="preserve">RATE7   </v>
      </c>
      <c r="H33" s="159">
        <f t="shared" si="13"/>
        <v>0</v>
      </c>
      <c r="I33" s="160">
        <f t="shared" si="13"/>
        <v>5698400.0000000009</v>
      </c>
      <c r="J33" s="160">
        <f t="shared" si="13"/>
        <v>13144318.181818182</v>
      </c>
      <c r="K33" s="161">
        <f t="shared" si="3"/>
        <v>18842718.181818184</v>
      </c>
      <c r="L33" s="152" t="str">
        <f t="shared" si="14"/>
        <v/>
      </c>
      <c r="M33" s="153" t="str">
        <f t="shared" si="14"/>
        <v/>
      </c>
      <c r="N33" s="153" t="str">
        <f t="shared" si="14"/>
        <v/>
      </c>
      <c r="O33" s="153" t="str">
        <f t="shared" si="14"/>
        <v/>
      </c>
      <c r="P33" s="153" t="str">
        <f t="shared" si="14"/>
        <v/>
      </c>
      <c r="Q33" s="153" t="str">
        <f t="shared" si="8"/>
        <v/>
      </c>
      <c r="R33" s="153" t="str">
        <f t="shared" si="15"/>
        <v/>
      </c>
      <c r="S33" s="153" t="str">
        <f t="shared" si="15"/>
        <v/>
      </c>
      <c r="T33" s="153" t="str">
        <f t="shared" si="15"/>
        <v/>
      </c>
      <c r="U33" s="153" t="str">
        <f t="shared" si="15"/>
        <v/>
      </c>
      <c r="V33" s="153" t="str">
        <f t="shared" si="15"/>
        <v/>
      </c>
      <c r="W33" s="153" t="str">
        <f t="shared" si="15"/>
        <v/>
      </c>
      <c r="X33" s="153" t="str">
        <f t="shared" si="15"/>
        <v/>
      </c>
      <c r="Y33" s="153" t="str">
        <f t="shared" si="15"/>
        <v/>
      </c>
      <c r="Z33" s="153" t="str">
        <f t="shared" si="15"/>
        <v/>
      </c>
      <c r="AA33" s="153" t="str">
        <f t="shared" si="15"/>
        <v/>
      </c>
      <c r="AB33" s="153" t="str">
        <f t="shared" si="16"/>
        <v/>
      </c>
      <c r="AC33" s="153" t="str">
        <f t="shared" si="16"/>
        <v/>
      </c>
      <c r="AD33" s="153">
        <f t="shared" si="16"/>
        <v>836345.76802507835</v>
      </c>
      <c r="AE33" s="153">
        <f t="shared" si="16"/>
        <v>864275.63959955506</v>
      </c>
      <c r="AF33" s="153">
        <f t="shared" si="16"/>
        <v>928335.48387096776</v>
      </c>
      <c r="AG33" s="153">
        <f t="shared" si="16"/>
        <v>985709.56618464959</v>
      </c>
      <c r="AH33" s="153">
        <f t="shared" si="16"/>
        <v>994938.82091212459</v>
      </c>
      <c r="AI33" s="153">
        <f t="shared" si="16"/>
        <v>1088794.7214076247</v>
      </c>
      <c r="AJ33" s="153">
        <f t="shared" si="16"/>
        <v>1101273.354231975</v>
      </c>
      <c r="AK33" s="153">
        <f t="shared" si="16"/>
        <v>974420.68965517241</v>
      </c>
      <c r="AL33" s="153">
        <f t="shared" si="17"/>
        <v>1135624.1379310344</v>
      </c>
      <c r="AM33" s="153">
        <f t="shared" si="17"/>
        <v>1122000</v>
      </c>
      <c r="AN33" s="153">
        <f t="shared" si="17"/>
        <v>1270200</v>
      </c>
      <c r="AO33" s="153">
        <f t="shared" si="17"/>
        <v>1272300</v>
      </c>
      <c r="AP33" s="153">
        <f t="shared" si="17"/>
        <v>1187700</v>
      </c>
      <c r="AQ33" s="153">
        <f t="shared" si="17"/>
        <v>1058400</v>
      </c>
      <c r="AR33" s="153">
        <f t="shared" si="17"/>
        <v>1069500</v>
      </c>
      <c r="AS33" s="153">
        <f t="shared" si="17"/>
        <v>1119000</v>
      </c>
      <c r="AT33" s="153">
        <f t="shared" si="17"/>
        <v>885000</v>
      </c>
      <c r="AU33" s="153">
        <f t="shared" si="17"/>
        <v>948900</v>
      </c>
      <c r="AV33" s="153">
        <f t="shared" si="17"/>
        <v>0</v>
      </c>
      <c r="AW33" s="153">
        <f t="shared" si="17"/>
        <v>0</v>
      </c>
      <c r="AX33" s="154">
        <f t="shared" si="17"/>
        <v>0</v>
      </c>
      <c r="AZ33" s="265"/>
      <c r="BC33" s="460">
        <f>IF($G33=BC$10,MATCH($F33,'kWh Summary All RSs'!$F$7:$F$40,0),0)</f>
        <v>0</v>
      </c>
      <c r="BD33" s="459">
        <f>IF($G33=BD$10,MATCH($F33,'kWh Summary All RSs'!$F$7:$F$40,0),0)</f>
        <v>0</v>
      </c>
      <c r="BE33" s="459">
        <f>IF($G33=BE$10,MATCH($F33,'kWh Summary All RSs'!$F$7:$F$40,0),0)</f>
        <v>22</v>
      </c>
    </row>
    <row r="34" spans="2:57" s="137" customFormat="1" ht="15" customHeight="1" x14ac:dyDescent="0.25">
      <c r="B34" s="265"/>
      <c r="D34" s="155">
        <f>'kWh Summary All RSs'!D29</f>
        <v>43088</v>
      </c>
      <c r="E34" s="156">
        <f>'kWh Summary All RSs'!E29</f>
        <v>43739</v>
      </c>
      <c r="F34" s="157">
        <f>'kWh Summary All RSs'!F29</f>
        <v>5414207710</v>
      </c>
      <c r="G34" s="158" t="str">
        <f>'kWh Summary All RSs'!I29</f>
        <v xml:space="preserve">RATE7   </v>
      </c>
      <c r="H34" s="159">
        <f t="shared" si="13"/>
        <v>116951.5294117647</v>
      </c>
      <c r="I34" s="160">
        <f t="shared" si="13"/>
        <v>3873923.1372549022</v>
      </c>
      <c r="J34" s="160">
        <f t="shared" si="13"/>
        <v>1946133.3333333335</v>
      </c>
      <c r="K34" s="161">
        <f t="shared" si="3"/>
        <v>5937008</v>
      </c>
      <c r="L34" s="152" t="str">
        <f t="shared" si="14"/>
        <v/>
      </c>
      <c r="M34" s="153" t="str">
        <f t="shared" si="14"/>
        <v/>
      </c>
      <c r="N34" s="153" t="str">
        <f t="shared" si="14"/>
        <v/>
      </c>
      <c r="O34" s="153" t="str">
        <f t="shared" si="14"/>
        <v/>
      </c>
      <c r="P34" s="153" t="str">
        <f t="shared" si="14"/>
        <v/>
      </c>
      <c r="Q34" s="153" t="str">
        <f t="shared" si="8"/>
        <v/>
      </c>
      <c r="R34" s="153" t="str">
        <f t="shared" si="15"/>
        <v/>
      </c>
      <c r="S34" s="153" t="str">
        <f t="shared" si="15"/>
        <v/>
      </c>
      <c r="T34" s="153" t="str">
        <f t="shared" si="15"/>
        <v/>
      </c>
      <c r="U34" s="153" t="str">
        <f t="shared" si="15"/>
        <v/>
      </c>
      <c r="V34" s="153" t="str">
        <f t="shared" si="15"/>
        <v/>
      </c>
      <c r="W34" s="153">
        <f t="shared" si="15"/>
        <v>116951.5294117647</v>
      </c>
      <c r="X34" s="153">
        <f t="shared" si="15"/>
        <v>322429.80392156867</v>
      </c>
      <c r="Y34" s="153">
        <f t="shared" si="15"/>
        <v>377850.11494252877</v>
      </c>
      <c r="Z34" s="153">
        <f t="shared" si="15"/>
        <v>428303.44827586203</v>
      </c>
      <c r="AA34" s="153">
        <f t="shared" si="15"/>
        <v>421875.68409343716</v>
      </c>
      <c r="AB34" s="153">
        <f t="shared" si="16"/>
        <v>441569.03225806454</v>
      </c>
      <c r="AC34" s="153">
        <f t="shared" si="16"/>
        <v>429448.38709677418</v>
      </c>
      <c r="AD34" s="153">
        <f t="shared" si="16"/>
        <v>428900</v>
      </c>
      <c r="AE34" s="153">
        <f t="shared" si="16"/>
        <v>114960</v>
      </c>
      <c r="AF34" s="153">
        <f t="shared" si="16"/>
        <v>800</v>
      </c>
      <c r="AG34" s="153">
        <f t="shared" si="16"/>
        <v>133013.33333333334</v>
      </c>
      <c r="AH34" s="153">
        <f t="shared" si="16"/>
        <v>399040</v>
      </c>
      <c r="AI34" s="153">
        <f t="shared" si="16"/>
        <v>375733.33333333337</v>
      </c>
      <c r="AJ34" s="153">
        <f t="shared" si="16"/>
        <v>280277.33333333337</v>
      </c>
      <c r="AK34" s="153">
        <f t="shared" si="16"/>
        <v>184456</v>
      </c>
      <c r="AL34" s="153">
        <f t="shared" si="17"/>
        <v>179960</v>
      </c>
      <c r="AM34" s="153">
        <f t="shared" si="17"/>
        <v>52480</v>
      </c>
      <c r="AN34" s="153">
        <f t="shared" si="17"/>
        <v>1440</v>
      </c>
      <c r="AO34" s="153">
        <f t="shared" si="17"/>
        <v>2720</v>
      </c>
      <c r="AP34" s="153">
        <f t="shared" si="17"/>
        <v>254400</v>
      </c>
      <c r="AQ34" s="153">
        <f t="shared" si="17"/>
        <v>218080</v>
      </c>
      <c r="AR34" s="153">
        <f t="shared" si="17"/>
        <v>181280</v>
      </c>
      <c r="AS34" s="153">
        <f t="shared" si="17"/>
        <v>196160</v>
      </c>
      <c r="AT34" s="153">
        <f t="shared" si="17"/>
        <v>199200</v>
      </c>
      <c r="AU34" s="153">
        <f t="shared" si="17"/>
        <v>195680</v>
      </c>
      <c r="AV34" s="153">
        <f t="shared" si="17"/>
        <v>0</v>
      </c>
      <c r="AW34" s="153">
        <f t="shared" si="17"/>
        <v>0</v>
      </c>
      <c r="AX34" s="154">
        <f t="shared" si="17"/>
        <v>0</v>
      </c>
      <c r="AZ34" s="265"/>
      <c r="BC34" s="460">
        <f>IF($G34=BC$10,MATCH($F34,'kWh Summary All RSs'!$F$7:$F$40,0),0)</f>
        <v>0</v>
      </c>
      <c r="BD34" s="459">
        <f>IF($G34=BD$10,MATCH($F34,'kWh Summary All RSs'!$F$7:$F$40,0),0)</f>
        <v>0</v>
      </c>
      <c r="BE34" s="459">
        <f>IF($G34=BE$10,MATCH($F34,'kWh Summary All RSs'!$F$7:$F$40,0),0)</f>
        <v>19</v>
      </c>
    </row>
    <row r="35" spans="2:57" s="137" customFormat="1" ht="15" customHeight="1" x14ac:dyDescent="0.25">
      <c r="B35" s="265"/>
      <c r="D35" s="155">
        <f>'kWh Summary All RSs'!D30</f>
        <v>43115</v>
      </c>
      <c r="E35" s="156">
        <f>'kWh Summary All RSs'!E30</f>
        <v>43800</v>
      </c>
      <c r="F35" s="157">
        <f>'kWh Summary All RSs'!F30</f>
        <v>6875167751</v>
      </c>
      <c r="G35" s="158" t="str">
        <f>'kWh Summary All RSs'!I30</f>
        <v xml:space="preserve">RATE7   </v>
      </c>
      <c r="H35" s="159">
        <f t="shared" si="13"/>
        <v>0</v>
      </c>
      <c r="I35" s="160">
        <f t="shared" si="13"/>
        <v>3170409.0909090908</v>
      </c>
      <c r="J35" s="160">
        <f t="shared" si="13"/>
        <v>2980445.4545454546</v>
      </c>
      <c r="K35" s="161">
        <f t="shared" si="3"/>
        <v>6150854.5454545449</v>
      </c>
      <c r="L35" s="152" t="str">
        <f t="shared" si="14"/>
        <v/>
      </c>
      <c r="M35" s="153" t="str">
        <f t="shared" si="14"/>
        <v/>
      </c>
      <c r="N35" s="153" t="str">
        <f t="shared" si="14"/>
        <v/>
      </c>
      <c r="O35" s="153" t="str">
        <f t="shared" si="14"/>
        <v/>
      </c>
      <c r="P35" s="153" t="str">
        <f t="shared" si="14"/>
        <v/>
      </c>
      <c r="Q35" s="153" t="str">
        <f t="shared" si="8"/>
        <v/>
      </c>
      <c r="R35" s="153" t="str">
        <f t="shared" si="15"/>
        <v/>
      </c>
      <c r="S35" s="153" t="str">
        <f t="shared" si="15"/>
        <v/>
      </c>
      <c r="T35" s="153" t="str">
        <f t="shared" si="15"/>
        <v/>
      </c>
      <c r="U35" s="153" t="str">
        <f t="shared" si="15"/>
        <v/>
      </c>
      <c r="V35" s="153" t="str">
        <f t="shared" si="15"/>
        <v/>
      </c>
      <c r="W35" s="153" t="str">
        <f t="shared" si="15"/>
        <v/>
      </c>
      <c r="X35" s="153">
        <f t="shared" si="15"/>
        <v>173302.82131661443</v>
      </c>
      <c r="Y35" s="153">
        <f t="shared" si="15"/>
        <v>375591.72413793101</v>
      </c>
      <c r="Z35" s="153">
        <f t="shared" si="15"/>
        <v>511228.96551724139</v>
      </c>
      <c r="AA35" s="153">
        <f t="shared" si="15"/>
        <v>506731.03448275861</v>
      </c>
      <c r="AB35" s="153">
        <f t="shared" si="16"/>
        <v>511567.74193548388</v>
      </c>
      <c r="AC35" s="153">
        <f t="shared" si="16"/>
        <v>484741.63306451612</v>
      </c>
      <c r="AD35" s="153">
        <f t="shared" si="16"/>
        <v>419109.9798387097</v>
      </c>
      <c r="AE35" s="153">
        <f t="shared" si="16"/>
        <v>167246.16240266961</v>
      </c>
      <c r="AF35" s="153">
        <f t="shared" si="16"/>
        <v>134.48275862068965</v>
      </c>
      <c r="AG35" s="153">
        <f t="shared" si="16"/>
        <v>0</v>
      </c>
      <c r="AH35" s="153">
        <f t="shared" si="16"/>
        <v>170</v>
      </c>
      <c r="AI35" s="153">
        <f t="shared" si="16"/>
        <v>20584.545454545452</v>
      </c>
      <c r="AJ35" s="153">
        <f t="shared" si="16"/>
        <v>114700.62695924765</v>
      </c>
      <c r="AK35" s="153">
        <f t="shared" si="16"/>
        <v>148086.20689655171</v>
      </c>
      <c r="AL35" s="153">
        <f t="shared" si="17"/>
        <v>138858.62068965516</v>
      </c>
      <c r="AM35" s="153">
        <f t="shared" si="17"/>
        <v>36600</v>
      </c>
      <c r="AN35" s="153">
        <f t="shared" si="17"/>
        <v>218100</v>
      </c>
      <c r="AO35" s="153">
        <f t="shared" si="17"/>
        <v>288900</v>
      </c>
      <c r="AP35" s="153">
        <f t="shared" si="17"/>
        <v>258300</v>
      </c>
      <c r="AQ35" s="153">
        <f t="shared" si="17"/>
        <v>390600</v>
      </c>
      <c r="AR35" s="153">
        <f t="shared" si="17"/>
        <v>365400</v>
      </c>
      <c r="AS35" s="153">
        <f t="shared" si="17"/>
        <v>369600</v>
      </c>
      <c r="AT35" s="153">
        <f t="shared" si="17"/>
        <v>332700</v>
      </c>
      <c r="AU35" s="153">
        <f t="shared" si="17"/>
        <v>318600</v>
      </c>
      <c r="AV35" s="153">
        <f t="shared" si="17"/>
        <v>0</v>
      </c>
      <c r="AW35" s="153">
        <f t="shared" si="17"/>
        <v>0</v>
      </c>
      <c r="AX35" s="154">
        <f t="shared" si="17"/>
        <v>0</v>
      </c>
      <c r="AZ35" s="265"/>
      <c r="BC35" s="460">
        <f>IF($G35=BC$10,MATCH($F35,'kWh Summary All RSs'!$F$7:$F$40,0),0)</f>
        <v>0</v>
      </c>
      <c r="BD35" s="459">
        <f>IF($G35=BD$10,MATCH($F35,'kWh Summary All RSs'!$F$7:$F$40,0),0)</f>
        <v>0</v>
      </c>
      <c r="BE35" s="459">
        <f>IF($G35=BE$10,MATCH($F35,'kWh Summary All RSs'!$F$7:$F$40,0),0)</f>
        <v>24</v>
      </c>
    </row>
    <row r="36" spans="2:57" s="137" customFormat="1" ht="15" customHeight="1" x14ac:dyDescent="0.25">
      <c r="B36" s="265"/>
      <c r="D36" s="155">
        <f>'kWh Summary All RSs'!D31</f>
        <v>43035</v>
      </c>
      <c r="E36" s="156">
        <f>'kWh Summary All RSs'!E31</f>
        <v>43800</v>
      </c>
      <c r="F36" s="157">
        <f>'kWh Summary All RSs'!F31</f>
        <v>5142999910</v>
      </c>
      <c r="G36" s="158" t="str">
        <f>'kWh Summary All RSs'!I31</f>
        <v xml:space="preserve">RATE7   </v>
      </c>
      <c r="H36" s="159">
        <f t="shared" si="13"/>
        <v>1027063.8655462186</v>
      </c>
      <c r="I36" s="160">
        <f t="shared" si="13"/>
        <v>13674019.35483871</v>
      </c>
      <c r="J36" s="160">
        <f t="shared" si="13"/>
        <v>2240254.3293718165</v>
      </c>
      <c r="K36" s="161">
        <f t="shared" si="3"/>
        <v>16941337.549756747</v>
      </c>
      <c r="L36" s="152" t="str">
        <f t="shared" si="14"/>
        <v/>
      </c>
      <c r="M36" s="153" t="str">
        <f t="shared" si="14"/>
        <v/>
      </c>
      <c r="N36" s="153" t="str">
        <f t="shared" si="14"/>
        <v/>
      </c>
      <c r="O36" s="153" t="str">
        <f t="shared" si="14"/>
        <v/>
      </c>
      <c r="P36" s="153" t="str">
        <f t="shared" si="14"/>
        <v/>
      </c>
      <c r="Q36" s="153" t="str">
        <f t="shared" si="8"/>
        <v/>
      </c>
      <c r="R36" s="153" t="str">
        <f t="shared" si="15"/>
        <v/>
      </c>
      <c r="S36" s="153" t="str">
        <f t="shared" si="15"/>
        <v/>
      </c>
      <c r="T36" s="153" t="str">
        <f t="shared" si="15"/>
        <v/>
      </c>
      <c r="U36" s="153" t="str">
        <f t="shared" si="15"/>
        <v/>
      </c>
      <c r="V36" s="153">
        <f t="shared" si="15"/>
        <v>47828.571428571428</v>
      </c>
      <c r="W36" s="153">
        <f t="shared" si="15"/>
        <v>979235.29411764711</v>
      </c>
      <c r="X36" s="153">
        <f t="shared" si="15"/>
        <v>1054800</v>
      </c>
      <c r="Y36" s="153">
        <f t="shared" si="15"/>
        <v>1020600</v>
      </c>
      <c r="Z36" s="153">
        <f t="shared" si="15"/>
        <v>1140144.8275862068</v>
      </c>
      <c r="AA36" s="153">
        <f t="shared" si="15"/>
        <v>1116413.7931034483</v>
      </c>
      <c r="AB36" s="153">
        <f t="shared" si="16"/>
        <v>1243786.8338557994</v>
      </c>
      <c r="AC36" s="153">
        <f t="shared" si="16"/>
        <v>1221695.9247648902</v>
      </c>
      <c r="AD36" s="153">
        <f t="shared" si="16"/>
        <v>1254898.6206896552</v>
      </c>
      <c r="AE36" s="153">
        <f t="shared" si="16"/>
        <v>1253550.9090909092</v>
      </c>
      <c r="AF36" s="153">
        <f t="shared" si="16"/>
        <v>1192743.5736677113</v>
      </c>
      <c r="AG36" s="153">
        <f t="shared" si="16"/>
        <v>1113165.5172413792</v>
      </c>
      <c r="AH36" s="153">
        <f t="shared" si="16"/>
        <v>892363.63636363635</v>
      </c>
      <c r="AI36" s="153">
        <f t="shared" si="16"/>
        <v>1169855.7184750731</v>
      </c>
      <c r="AJ36" s="153">
        <f t="shared" si="16"/>
        <v>115780.64516129032</v>
      </c>
      <c r="AK36" s="153" t="str">
        <f t="shared" si="16"/>
        <v/>
      </c>
      <c r="AL36" s="153" t="str">
        <f t="shared" si="17"/>
        <v/>
      </c>
      <c r="AM36" s="153" t="str">
        <f t="shared" si="17"/>
        <v/>
      </c>
      <c r="AN36" s="153" t="str">
        <f t="shared" si="17"/>
        <v/>
      </c>
      <c r="AO36" s="153" t="str">
        <f t="shared" si="17"/>
        <v/>
      </c>
      <c r="AP36" s="153" t="str">
        <f t="shared" si="17"/>
        <v/>
      </c>
      <c r="AQ36" s="153">
        <f t="shared" si="17"/>
        <v>247673.68421052632</v>
      </c>
      <c r="AR36" s="153">
        <f t="shared" si="17"/>
        <v>426000</v>
      </c>
      <c r="AS36" s="153">
        <f t="shared" si="17"/>
        <v>499800</v>
      </c>
      <c r="AT36" s="153">
        <f t="shared" si="17"/>
        <v>483000</v>
      </c>
      <c r="AU36" s="153">
        <f t="shared" si="17"/>
        <v>468000</v>
      </c>
      <c r="AV36" s="153">
        <f t="shared" si="17"/>
        <v>0</v>
      </c>
      <c r="AW36" s="153">
        <f t="shared" si="17"/>
        <v>0</v>
      </c>
      <c r="AX36" s="154">
        <f t="shared" si="17"/>
        <v>0</v>
      </c>
      <c r="AZ36" s="265"/>
      <c r="BC36" s="460">
        <f>IF($G36=BC$10,MATCH($F36,'kWh Summary All RSs'!$F$7:$F$40,0),0)</f>
        <v>0</v>
      </c>
      <c r="BD36" s="459">
        <f>IF($G36=BD$10,MATCH($F36,'kWh Summary All RSs'!$F$7:$F$40,0),0)</f>
        <v>0</v>
      </c>
      <c r="BE36" s="459">
        <f>IF($G36=BE$10,MATCH($F36,'kWh Summary All RSs'!$F$7:$F$40,0),0)</f>
        <v>25</v>
      </c>
    </row>
    <row r="37" spans="2:57" s="137" customFormat="1" ht="15" customHeight="1" x14ac:dyDescent="0.25">
      <c r="B37" s="265"/>
      <c r="D37" s="155">
        <f>'kWh Summary All RSs'!D32</f>
        <v>42705</v>
      </c>
      <c r="E37" s="156">
        <f>'kWh Summary All RSs'!E32</f>
        <v>43800</v>
      </c>
      <c r="F37" s="157">
        <f>'kWh Summary All RSs'!F32</f>
        <v>3990089383</v>
      </c>
      <c r="G37" s="158" t="str">
        <f>'kWh Summary All RSs'!I32</f>
        <v xml:space="preserve">RATE7   </v>
      </c>
      <c r="H37" s="159">
        <f t="shared" si="13"/>
        <v>14059264.478016913</v>
      </c>
      <c r="I37" s="160">
        <f t="shared" si="13"/>
        <v>12763069.070208726</v>
      </c>
      <c r="J37" s="160">
        <f t="shared" si="13"/>
        <v>9146137.1428571418</v>
      </c>
      <c r="K37" s="161">
        <f t="shared" si="3"/>
        <v>35968470.691082783</v>
      </c>
      <c r="L37" s="152">
        <f t="shared" si="14"/>
        <v>1207717.2413793104</v>
      </c>
      <c r="M37" s="153">
        <f t="shared" si="14"/>
        <v>1058925</v>
      </c>
      <c r="N37" s="153">
        <f t="shared" si="14"/>
        <v>1213851.4285714284</v>
      </c>
      <c r="O37" s="153">
        <f t="shared" si="14"/>
        <v>1177071.4285714284</v>
      </c>
      <c r="P37" s="153">
        <f t="shared" si="14"/>
        <v>1239225</v>
      </c>
      <c r="Q37" s="153">
        <f t="shared" si="8"/>
        <v>1209724.1379310347</v>
      </c>
      <c r="R37" s="153">
        <f t="shared" si="15"/>
        <v>1151275.8620689656</v>
      </c>
      <c r="S37" s="153">
        <f t="shared" si="15"/>
        <v>1101345.4545454546</v>
      </c>
      <c r="T37" s="153">
        <f t="shared" si="15"/>
        <v>1116000</v>
      </c>
      <c r="U37" s="153">
        <f t="shared" si="15"/>
        <v>1234420</v>
      </c>
      <c r="V37" s="153">
        <f t="shared" si="15"/>
        <v>1296620.6896551724</v>
      </c>
      <c r="W37" s="153">
        <f t="shared" si="15"/>
        <v>1053088.2352941176</v>
      </c>
      <c r="X37" s="153">
        <f t="shared" si="15"/>
        <v>1089952.9411764706</v>
      </c>
      <c r="Y37" s="153">
        <f t="shared" si="15"/>
        <v>1016925</v>
      </c>
      <c r="Z37" s="153">
        <f t="shared" si="15"/>
        <v>1160288.7931034481</v>
      </c>
      <c r="AA37" s="153">
        <f t="shared" si="15"/>
        <v>1069282.7586206896</v>
      </c>
      <c r="AB37" s="153">
        <f t="shared" si="16"/>
        <v>1190776.1755485893</v>
      </c>
      <c r="AC37" s="153">
        <f t="shared" si="16"/>
        <v>1168527.2727272727</v>
      </c>
      <c r="AD37" s="153">
        <f t="shared" si="16"/>
        <v>736300</v>
      </c>
      <c r="AE37" s="153">
        <f t="shared" si="16"/>
        <v>953790.90909090906</v>
      </c>
      <c r="AF37" s="153">
        <f t="shared" si="16"/>
        <v>1164543.5736677113</v>
      </c>
      <c r="AG37" s="153">
        <f t="shared" si="16"/>
        <v>1173165.5172413792</v>
      </c>
      <c r="AH37" s="153">
        <f t="shared" si="16"/>
        <v>1030363.6363636364</v>
      </c>
      <c r="AI37" s="153">
        <f t="shared" si="16"/>
        <v>1009152.4926686217</v>
      </c>
      <c r="AJ37" s="153">
        <f t="shared" si="16"/>
        <v>1151480</v>
      </c>
      <c r="AK37" s="153" t="str">
        <f t="shared" si="16"/>
        <v/>
      </c>
      <c r="AL37" s="153" t="str">
        <f t="shared" si="17"/>
        <v/>
      </c>
      <c r="AM37" s="153">
        <f t="shared" si="17"/>
        <v>294857.1428571429</v>
      </c>
      <c r="AN37" s="153">
        <f t="shared" si="17"/>
        <v>1038600</v>
      </c>
      <c r="AO37" s="153">
        <f t="shared" si="17"/>
        <v>1065000</v>
      </c>
      <c r="AP37" s="153">
        <f t="shared" si="17"/>
        <v>1073400</v>
      </c>
      <c r="AQ37" s="153">
        <f t="shared" si="17"/>
        <v>1008600</v>
      </c>
      <c r="AR37" s="153">
        <f t="shared" si="17"/>
        <v>904200</v>
      </c>
      <c r="AS37" s="153">
        <f t="shared" si="17"/>
        <v>868800</v>
      </c>
      <c r="AT37" s="153">
        <f t="shared" si="17"/>
        <v>872400</v>
      </c>
      <c r="AU37" s="153">
        <f t="shared" si="17"/>
        <v>868800</v>
      </c>
      <c r="AV37" s="153">
        <f t="shared" si="17"/>
        <v>0</v>
      </c>
      <c r="AW37" s="153">
        <f t="shared" si="17"/>
        <v>0</v>
      </c>
      <c r="AX37" s="154">
        <f t="shared" si="17"/>
        <v>0</v>
      </c>
      <c r="AZ37" s="265"/>
      <c r="BC37" s="460">
        <f>IF($G37=BC$10,MATCH($F37,'kWh Summary All RSs'!$F$7:$F$40,0),0)</f>
        <v>0</v>
      </c>
      <c r="BD37" s="459">
        <f>IF($G37=BD$10,MATCH($F37,'kWh Summary All RSs'!$F$7:$F$40,0),0)</f>
        <v>0</v>
      </c>
      <c r="BE37" s="459">
        <f>IF($G37=BE$10,MATCH($F37,'kWh Summary All RSs'!$F$7:$F$40,0),0)</f>
        <v>26</v>
      </c>
    </row>
    <row r="38" spans="2:57" s="137" customFormat="1" ht="15" customHeight="1" x14ac:dyDescent="0.25">
      <c r="B38" s="265"/>
      <c r="D38" s="155">
        <f>'kWh Summary All RSs'!D33</f>
        <v>42717</v>
      </c>
      <c r="E38" s="156">
        <f>'kWh Summary All RSs'!E33</f>
        <v>43800</v>
      </c>
      <c r="F38" s="157">
        <f>'kWh Summary All RSs'!F33</f>
        <v>1114177282</v>
      </c>
      <c r="G38" s="158" t="str">
        <f>'kWh Summary All RSs'!I33</f>
        <v xml:space="preserve">RATE7   </v>
      </c>
      <c r="H38" s="159">
        <f t="shared" si="13"/>
        <v>31578.823529411766</v>
      </c>
      <c r="I38" s="160">
        <f t="shared" si="13"/>
        <v>2179704.8128342247</v>
      </c>
      <c r="J38" s="160">
        <f t="shared" si="13"/>
        <v>7863636.3636363633</v>
      </c>
      <c r="K38" s="161">
        <f t="shared" si="3"/>
        <v>10074920</v>
      </c>
      <c r="L38" s="152">
        <f t="shared" si="14"/>
        <v>3802.7586206896553</v>
      </c>
      <c r="M38" s="153">
        <f t="shared" si="14"/>
        <v>3017.2413793103451</v>
      </c>
      <c r="N38" s="153">
        <f t="shared" si="14"/>
        <v>3037.9310344827586</v>
      </c>
      <c r="O38" s="153">
        <f t="shared" si="14"/>
        <v>1848.2758620689656</v>
      </c>
      <c r="P38" s="153">
        <f t="shared" si="14"/>
        <v>1463.7931034482758</v>
      </c>
      <c r="Q38" s="153">
        <f t="shared" si="8"/>
        <v>1563.3333333333335</v>
      </c>
      <c r="R38" s="153">
        <f t="shared" si="15"/>
        <v>1690.1149425287356</v>
      </c>
      <c r="S38" s="153">
        <f t="shared" si="15"/>
        <v>1871.5517241379309</v>
      </c>
      <c r="T38" s="153">
        <f t="shared" si="15"/>
        <v>1728.4482758620688</v>
      </c>
      <c r="U38" s="153">
        <f t="shared" si="15"/>
        <v>2924.1379310344828</v>
      </c>
      <c r="V38" s="153">
        <f t="shared" si="15"/>
        <v>4019.4726166328605</v>
      </c>
      <c r="W38" s="153">
        <f t="shared" si="15"/>
        <v>4611.7647058823532</v>
      </c>
      <c r="X38" s="153">
        <f t="shared" si="15"/>
        <v>4720.4868154158212</v>
      </c>
      <c r="Y38" s="153">
        <f t="shared" si="15"/>
        <v>3740.6896551724139</v>
      </c>
      <c r="Z38" s="153">
        <f t="shared" si="15"/>
        <v>14811.03448275862</v>
      </c>
      <c r="AA38" s="153">
        <f t="shared" si="15"/>
        <v>47127.030033370407</v>
      </c>
      <c r="AB38" s="153">
        <f t="shared" si="16"/>
        <v>78206.451612903227</v>
      </c>
      <c r="AC38" s="153">
        <f t="shared" si="16"/>
        <v>194835.48387096776</v>
      </c>
      <c r="AD38" s="153">
        <f t="shared" si="16"/>
        <v>298175.86206896551</v>
      </c>
      <c r="AE38" s="153">
        <f t="shared" si="16"/>
        <v>306833.81535038934</v>
      </c>
      <c r="AF38" s="153">
        <f t="shared" si="16"/>
        <v>293445.16129032261</v>
      </c>
      <c r="AG38" s="153">
        <f t="shared" si="16"/>
        <v>294965.16129032261</v>
      </c>
      <c r="AH38" s="153">
        <f t="shared" si="16"/>
        <v>281253.33333333331</v>
      </c>
      <c r="AI38" s="153">
        <f t="shared" si="16"/>
        <v>361590.30303030304</v>
      </c>
      <c r="AJ38" s="153">
        <f t="shared" si="16"/>
        <v>489181.19122257055</v>
      </c>
      <c r="AK38" s="153">
        <f t="shared" si="16"/>
        <v>553048.27586206899</v>
      </c>
      <c r="AL38" s="153">
        <f t="shared" si="17"/>
        <v>699806.89655172417</v>
      </c>
      <c r="AM38" s="153">
        <f t="shared" si="17"/>
        <v>749600</v>
      </c>
      <c r="AN38" s="153">
        <f t="shared" si="17"/>
        <v>774800</v>
      </c>
      <c r="AO38" s="153">
        <f t="shared" si="17"/>
        <v>688000</v>
      </c>
      <c r="AP38" s="153">
        <f t="shared" si="17"/>
        <v>732400</v>
      </c>
      <c r="AQ38" s="153">
        <f t="shared" si="17"/>
        <v>625600</v>
      </c>
      <c r="AR38" s="153">
        <f t="shared" si="17"/>
        <v>629600</v>
      </c>
      <c r="AS38" s="153">
        <f t="shared" si="17"/>
        <v>656400</v>
      </c>
      <c r="AT38" s="153">
        <f t="shared" si="17"/>
        <v>636400</v>
      </c>
      <c r="AU38" s="153">
        <f t="shared" si="17"/>
        <v>628800</v>
      </c>
      <c r="AV38" s="153">
        <f t="shared" si="17"/>
        <v>0</v>
      </c>
      <c r="AW38" s="153">
        <f t="shared" si="17"/>
        <v>0</v>
      </c>
      <c r="AX38" s="154">
        <f t="shared" si="17"/>
        <v>0</v>
      </c>
      <c r="AZ38" s="265"/>
      <c r="BC38" s="460">
        <f>IF($G38=BC$10,MATCH($F38,'kWh Summary All RSs'!$F$7:$F$40,0),0)</f>
        <v>0</v>
      </c>
      <c r="BD38" s="459">
        <f>IF($G38=BD$10,MATCH($F38,'kWh Summary All RSs'!$F$7:$F$40,0),0)</f>
        <v>0</v>
      </c>
      <c r="BE38" s="459">
        <f>IF($G38=BE$10,MATCH($F38,'kWh Summary All RSs'!$F$7:$F$40,0),0)</f>
        <v>27</v>
      </c>
    </row>
    <row r="39" spans="2:57" s="137" customFormat="1" ht="15" customHeight="1" x14ac:dyDescent="0.25">
      <c r="B39" s="265"/>
      <c r="D39" s="155">
        <f>'kWh Summary All RSs'!D34</f>
        <v>42719</v>
      </c>
      <c r="E39" s="156">
        <f>'kWh Summary All RSs'!E34</f>
        <v>43800</v>
      </c>
      <c r="F39" s="157">
        <f>'kWh Summary All RSs'!F34</f>
        <v>2329696211</v>
      </c>
      <c r="G39" s="158" t="str">
        <f>'kWh Summary All RSs'!I34</f>
        <v xml:space="preserve">RATE7   </v>
      </c>
      <c r="H39" s="159">
        <f t="shared" si="13"/>
        <v>27798250</v>
      </c>
      <c r="I39" s="160">
        <f t="shared" si="13"/>
        <v>30519322.580645166</v>
      </c>
      <c r="J39" s="160">
        <f t="shared" si="13"/>
        <v>26958077.419354841</v>
      </c>
      <c r="K39" s="161">
        <f t="shared" si="3"/>
        <v>85275650</v>
      </c>
      <c r="L39" s="152">
        <f t="shared" si="14"/>
        <v>2598146.5517241377</v>
      </c>
      <c r="M39" s="153">
        <f t="shared" si="14"/>
        <v>2059603.448275862</v>
      </c>
      <c r="N39" s="153">
        <f t="shared" si="14"/>
        <v>1911706.8965517241</v>
      </c>
      <c r="O39" s="153">
        <f t="shared" si="14"/>
        <v>1802664.0711902115</v>
      </c>
      <c r="P39" s="153">
        <f t="shared" si="14"/>
        <v>1990362.365591398</v>
      </c>
      <c r="Q39" s="153">
        <f t="shared" si="8"/>
        <v>2032933.3333333333</v>
      </c>
      <c r="R39" s="153">
        <f t="shared" si="15"/>
        <v>2244833.333333333</v>
      </c>
      <c r="S39" s="153">
        <f t="shared" si="15"/>
        <v>2331600</v>
      </c>
      <c r="T39" s="153">
        <f t="shared" si="15"/>
        <v>2522537.931034483</v>
      </c>
      <c r="U39" s="153">
        <f t="shared" si="15"/>
        <v>2791362.068965517</v>
      </c>
      <c r="V39" s="153">
        <f t="shared" si="15"/>
        <v>2703241.935483871</v>
      </c>
      <c r="W39" s="153">
        <f t="shared" si="15"/>
        <v>2809258.064516129</v>
      </c>
      <c r="X39" s="153">
        <f t="shared" si="15"/>
        <v>2815310.3448275863</v>
      </c>
      <c r="Y39" s="153">
        <f t="shared" si="15"/>
        <v>2509877.1551724141</v>
      </c>
      <c r="Z39" s="153">
        <f t="shared" si="15"/>
        <v>2725019.3965517245</v>
      </c>
      <c r="AA39" s="153">
        <f t="shared" si="15"/>
        <v>2616965.5172413792</v>
      </c>
      <c r="AB39" s="153">
        <f t="shared" si="16"/>
        <v>2724282.1316614421</v>
      </c>
      <c r="AC39" s="153">
        <f t="shared" si="16"/>
        <v>2578712.1212121211</v>
      </c>
      <c r="AD39" s="153">
        <f t="shared" si="16"/>
        <v>2515488.5057471264</v>
      </c>
      <c r="AE39" s="153">
        <f t="shared" si="16"/>
        <v>2455981.1912225708</v>
      </c>
      <c r="AF39" s="153">
        <f t="shared" si="16"/>
        <v>2457673.9811912226</v>
      </c>
      <c r="AG39" s="153">
        <f t="shared" si="16"/>
        <v>2491689.6551724137</v>
      </c>
      <c r="AH39" s="153">
        <f t="shared" si="16"/>
        <v>2264218.75</v>
      </c>
      <c r="AI39" s="153">
        <f t="shared" si="16"/>
        <v>2364103.8306451612</v>
      </c>
      <c r="AJ39" s="153">
        <f t="shared" si="16"/>
        <v>2316364.9193548383</v>
      </c>
      <c r="AK39" s="153">
        <f t="shared" si="16"/>
        <v>2062098.2142857143</v>
      </c>
      <c r="AL39" s="153">
        <f t="shared" si="17"/>
        <v>2408414.2857142859</v>
      </c>
      <c r="AM39" s="153">
        <f t="shared" si="17"/>
        <v>2385600</v>
      </c>
      <c r="AN39" s="153">
        <f t="shared" si="17"/>
        <v>2441600</v>
      </c>
      <c r="AO39" s="153">
        <f t="shared" si="17"/>
        <v>2312800</v>
      </c>
      <c r="AP39" s="153">
        <f t="shared" si="17"/>
        <v>2368800</v>
      </c>
      <c r="AQ39" s="153">
        <f t="shared" si="17"/>
        <v>2251200</v>
      </c>
      <c r="AR39" s="153">
        <f t="shared" si="17"/>
        <v>2133600</v>
      </c>
      <c r="AS39" s="153">
        <f t="shared" si="17"/>
        <v>2128000</v>
      </c>
      <c r="AT39" s="153">
        <f t="shared" si="17"/>
        <v>2043999.9999999998</v>
      </c>
      <c r="AU39" s="153">
        <f t="shared" si="17"/>
        <v>2105600</v>
      </c>
      <c r="AV39" s="153">
        <f t="shared" si="17"/>
        <v>0</v>
      </c>
      <c r="AW39" s="153">
        <f t="shared" si="17"/>
        <v>0</v>
      </c>
      <c r="AX39" s="154">
        <f t="shared" si="17"/>
        <v>0</v>
      </c>
      <c r="AZ39" s="265"/>
      <c r="BC39" s="460">
        <f>IF($G39=BC$10,MATCH($F39,'kWh Summary All RSs'!$F$7:$F$40,0),0)</f>
        <v>0</v>
      </c>
      <c r="BD39" s="459">
        <f>IF($G39=BD$10,MATCH($F39,'kWh Summary All RSs'!$F$7:$F$40,0),0)</f>
        <v>0</v>
      </c>
      <c r="BE39" s="459">
        <f>IF($G39=BE$10,MATCH($F39,'kWh Summary All RSs'!$F$7:$F$40,0),0)</f>
        <v>28</v>
      </c>
    </row>
    <row r="40" spans="2:57" s="137" customFormat="1" ht="15" customHeight="1" x14ac:dyDescent="0.25">
      <c r="B40" s="265"/>
      <c r="D40" s="155">
        <f>'kWh Summary All RSs'!D35</f>
        <v>42719</v>
      </c>
      <c r="E40" s="156">
        <f>'kWh Summary All RSs'!E35</f>
        <v>43800</v>
      </c>
      <c r="F40" s="157">
        <f>'kWh Summary All RSs'!F35</f>
        <v>7315489380</v>
      </c>
      <c r="G40" s="158" t="str">
        <f>'kWh Summary All RSs'!I35</f>
        <v xml:space="preserve">RATE7   </v>
      </c>
      <c r="H40" s="159">
        <f t="shared" si="13"/>
        <v>5812509.1176470583</v>
      </c>
      <c r="I40" s="160">
        <f t="shared" si="13"/>
        <v>5829732.9791271342</v>
      </c>
      <c r="J40" s="160">
        <f t="shared" si="13"/>
        <v>5488892.9032258065</v>
      </c>
      <c r="K40" s="161">
        <f t="shared" si="3"/>
        <v>17131135</v>
      </c>
      <c r="L40" s="152">
        <f t="shared" si="14"/>
        <v>459626.03448275861</v>
      </c>
      <c r="M40" s="153">
        <f t="shared" si="14"/>
        <v>418948.96551724139</v>
      </c>
      <c r="N40" s="153">
        <f t="shared" si="14"/>
        <v>469332.41379310342</v>
      </c>
      <c r="O40" s="153">
        <f t="shared" si="14"/>
        <v>464079.1991101224</v>
      </c>
      <c r="P40" s="153">
        <f t="shared" si="14"/>
        <v>496855.05376344087</v>
      </c>
      <c r="Q40" s="153">
        <f t="shared" si="8"/>
        <v>509605.33333333337</v>
      </c>
      <c r="R40" s="153">
        <f t="shared" si="15"/>
        <v>536946.06451612897</v>
      </c>
      <c r="S40" s="153">
        <f t="shared" si="15"/>
        <v>521789.93548387097</v>
      </c>
      <c r="T40" s="153">
        <f t="shared" si="15"/>
        <v>491855.44827586203</v>
      </c>
      <c r="U40" s="153">
        <f t="shared" si="15"/>
        <v>492216.55172413791</v>
      </c>
      <c r="V40" s="153">
        <f t="shared" si="15"/>
        <v>467903.22580645164</v>
      </c>
      <c r="W40" s="153">
        <f t="shared" si="15"/>
        <v>483350.89184060716</v>
      </c>
      <c r="X40" s="153">
        <f t="shared" si="15"/>
        <v>480805.1926977688</v>
      </c>
      <c r="Y40" s="153">
        <f t="shared" si="15"/>
        <v>428800.68965517241</v>
      </c>
      <c r="Z40" s="153">
        <f t="shared" si="15"/>
        <v>475254.4827586207</v>
      </c>
      <c r="AA40" s="153">
        <f t="shared" si="15"/>
        <v>475001.37931034481</v>
      </c>
      <c r="AB40" s="153">
        <f t="shared" si="16"/>
        <v>514618.68338557996</v>
      </c>
      <c r="AC40" s="153">
        <f t="shared" si="16"/>
        <v>511148.12121212127</v>
      </c>
      <c r="AD40" s="153">
        <f t="shared" si="16"/>
        <v>525692.50574712642</v>
      </c>
      <c r="AE40" s="153">
        <f t="shared" si="16"/>
        <v>517826.039707419</v>
      </c>
      <c r="AF40" s="153">
        <f t="shared" si="16"/>
        <v>493776.71891327063</v>
      </c>
      <c r="AG40" s="153">
        <f t="shared" si="16"/>
        <v>489862.06896551722</v>
      </c>
      <c r="AH40" s="153">
        <f t="shared" si="16"/>
        <v>456020</v>
      </c>
      <c r="AI40" s="153">
        <f t="shared" si="16"/>
        <v>460927.09677419357</v>
      </c>
      <c r="AJ40" s="153">
        <f t="shared" si="16"/>
        <v>453522.90322580643</v>
      </c>
      <c r="AK40" s="153">
        <f t="shared" si="16"/>
        <v>402752.85714285716</v>
      </c>
      <c r="AL40" s="153">
        <f t="shared" si="17"/>
        <v>447817.14285714284</v>
      </c>
      <c r="AM40" s="153">
        <f t="shared" si="17"/>
        <v>456320</v>
      </c>
      <c r="AN40" s="153">
        <f t="shared" si="17"/>
        <v>488800</v>
      </c>
      <c r="AO40" s="153">
        <f t="shared" si="17"/>
        <v>464480</v>
      </c>
      <c r="AP40" s="153">
        <f t="shared" si="17"/>
        <v>486080</v>
      </c>
      <c r="AQ40" s="153">
        <f t="shared" si="17"/>
        <v>483680</v>
      </c>
      <c r="AR40" s="153">
        <f t="shared" si="17"/>
        <v>459520</v>
      </c>
      <c r="AS40" s="153">
        <f t="shared" si="17"/>
        <v>458560</v>
      </c>
      <c r="AT40" s="153">
        <f t="shared" si="17"/>
        <v>438080</v>
      </c>
      <c r="AU40" s="153">
        <f t="shared" si="17"/>
        <v>449280</v>
      </c>
      <c r="AV40" s="153">
        <f t="shared" si="17"/>
        <v>0</v>
      </c>
      <c r="AW40" s="153">
        <f t="shared" si="17"/>
        <v>0</v>
      </c>
      <c r="AX40" s="154">
        <f t="shared" si="17"/>
        <v>0</v>
      </c>
      <c r="AZ40" s="265"/>
      <c r="BC40" s="460">
        <f>IF($G40=BC$10,MATCH($F40,'kWh Summary All RSs'!$F$7:$F$40,0),0)</f>
        <v>0</v>
      </c>
      <c r="BD40" s="459">
        <f>IF($G40=BD$10,MATCH($F40,'kWh Summary All RSs'!$F$7:$F$40,0),0)</f>
        <v>0</v>
      </c>
      <c r="BE40" s="459">
        <f>IF($G40=BE$10,MATCH($F40,'kWh Summary All RSs'!$F$7:$F$40,0),0)</f>
        <v>29</v>
      </c>
    </row>
    <row r="41" spans="2:57" s="137" customFormat="1" ht="15" customHeight="1" x14ac:dyDescent="0.25">
      <c r="B41" s="265"/>
      <c r="D41" s="155">
        <f>'kWh Summary All RSs'!D36</f>
        <v>42811</v>
      </c>
      <c r="E41" s="156">
        <f>'kWh Summary All RSs'!E36</f>
        <v>43800</v>
      </c>
      <c r="F41" s="157">
        <f>'kWh Summary All RSs'!F36</f>
        <v>870953315</v>
      </c>
      <c r="G41" s="158" t="str">
        <f>'kWh Summary All RSs'!I36</f>
        <v xml:space="preserve">RATE7   </v>
      </c>
      <c r="H41" s="159">
        <f t="shared" si="13"/>
        <v>3800978.2608695654</v>
      </c>
      <c r="I41" s="160">
        <f t="shared" si="13"/>
        <v>10187045.454545455</v>
      </c>
      <c r="J41" s="160">
        <f t="shared" si="13"/>
        <v>10331834.545454545</v>
      </c>
      <c r="K41" s="161">
        <f t="shared" si="3"/>
        <v>24319858.260869563</v>
      </c>
      <c r="L41" s="152" t="str">
        <f t="shared" si="14"/>
        <v/>
      </c>
      <c r="M41" s="153" t="str">
        <f t="shared" si="14"/>
        <v/>
      </c>
      <c r="N41" s="153">
        <f t="shared" si="14"/>
        <v>18478.260869565216</v>
      </c>
      <c r="O41" s="153">
        <f t="shared" si="14"/>
        <v>66206.896551724145</v>
      </c>
      <c r="P41" s="153">
        <f t="shared" si="14"/>
        <v>148193.10344827586</v>
      </c>
      <c r="Q41" s="153">
        <f t="shared" si="8"/>
        <v>230600</v>
      </c>
      <c r="R41" s="153">
        <f t="shared" si="15"/>
        <v>312482.75862068962</v>
      </c>
      <c r="S41" s="153">
        <f t="shared" si="15"/>
        <v>358083.908045977</v>
      </c>
      <c r="T41" s="153">
        <f t="shared" si="15"/>
        <v>462433.33333333337</v>
      </c>
      <c r="U41" s="153">
        <f t="shared" si="15"/>
        <v>620344.82758620684</v>
      </c>
      <c r="V41" s="153">
        <f t="shared" si="15"/>
        <v>723913.23692992213</v>
      </c>
      <c r="W41" s="153">
        <f t="shared" si="15"/>
        <v>860241.93548387103</v>
      </c>
      <c r="X41" s="153">
        <f t="shared" si="15"/>
        <v>900637.93103448278</v>
      </c>
      <c r="Y41" s="153">
        <f t="shared" si="15"/>
        <v>780968.31896551722</v>
      </c>
      <c r="Z41" s="153">
        <f t="shared" si="15"/>
        <v>848852.37068965519</v>
      </c>
      <c r="AA41" s="153">
        <f t="shared" si="15"/>
        <v>838189.65517241368</v>
      </c>
      <c r="AB41" s="153">
        <f t="shared" si="16"/>
        <v>873297.17868338549</v>
      </c>
      <c r="AC41" s="153">
        <f t="shared" si="16"/>
        <v>844734.54545454541</v>
      </c>
      <c r="AD41" s="153">
        <f t="shared" si="16"/>
        <v>872354.48275862075</v>
      </c>
      <c r="AE41" s="153">
        <f t="shared" si="16"/>
        <v>902947.33542319748</v>
      </c>
      <c r="AF41" s="153">
        <f t="shared" si="16"/>
        <v>853956.11285266443</v>
      </c>
      <c r="AG41" s="153">
        <f t="shared" si="16"/>
        <v>846005.81896551722</v>
      </c>
      <c r="AH41" s="153">
        <f t="shared" si="16"/>
        <v>808736.25</v>
      </c>
      <c r="AI41" s="153">
        <f t="shared" si="16"/>
        <v>816365.45454545459</v>
      </c>
      <c r="AJ41" s="153">
        <f t="shared" si="16"/>
        <v>808054.54545454541</v>
      </c>
      <c r="AK41" s="153">
        <f t="shared" si="16"/>
        <v>751775</v>
      </c>
      <c r="AL41" s="153">
        <f t="shared" si="17"/>
        <v>845625</v>
      </c>
      <c r="AM41" s="153">
        <f t="shared" si="17"/>
        <v>819000</v>
      </c>
      <c r="AN41" s="153">
        <f t="shared" si="17"/>
        <v>898800</v>
      </c>
      <c r="AO41" s="153">
        <f t="shared" si="17"/>
        <v>894600</v>
      </c>
      <c r="AP41" s="153">
        <f t="shared" si="17"/>
        <v>936600</v>
      </c>
      <c r="AQ41" s="153">
        <f t="shared" si="17"/>
        <v>876680</v>
      </c>
      <c r="AR41" s="153">
        <f t="shared" si="17"/>
        <v>848400</v>
      </c>
      <c r="AS41" s="153">
        <f t="shared" si="17"/>
        <v>730800</v>
      </c>
      <c r="AT41" s="153">
        <f t="shared" si="17"/>
        <v>934500</v>
      </c>
      <c r="AU41" s="153">
        <f t="shared" si="17"/>
        <v>987000</v>
      </c>
      <c r="AV41" s="153">
        <f t="shared" si="17"/>
        <v>0</v>
      </c>
      <c r="AW41" s="153">
        <f t="shared" si="17"/>
        <v>0</v>
      </c>
      <c r="AX41" s="154">
        <f t="shared" si="17"/>
        <v>0</v>
      </c>
      <c r="AZ41" s="265"/>
      <c r="BC41" s="460">
        <f>IF($G41=BC$10,MATCH($F41,'kWh Summary All RSs'!$F$7:$F$40,0),0)</f>
        <v>0</v>
      </c>
      <c r="BD41" s="459">
        <f>IF($G41=BD$10,MATCH($F41,'kWh Summary All RSs'!$F$7:$F$40,0),0)</f>
        <v>0</v>
      </c>
      <c r="BE41" s="459">
        <f>IF($G41=BE$10,MATCH($F41,'kWh Summary All RSs'!$F$7:$F$40,0),0)</f>
        <v>30</v>
      </c>
    </row>
    <row r="42" spans="2:57" s="137" customFormat="1" ht="15" customHeight="1" x14ac:dyDescent="0.25">
      <c r="B42" s="265"/>
      <c r="D42" s="155">
        <f>'kWh Summary All RSs'!D37</f>
        <v>42720</v>
      </c>
      <c r="E42" s="156">
        <f>'kWh Summary All RSs'!E37</f>
        <v>43800</v>
      </c>
      <c r="F42" s="157">
        <f>'kWh Summary All RSs'!F37</f>
        <v>3186200000</v>
      </c>
      <c r="G42" s="158" t="str">
        <f>'kWh Summary All RSs'!I37</f>
        <v xml:space="preserve">RATE7   </v>
      </c>
      <c r="H42" s="159">
        <f t="shared" si="13"/>
        <v>4744700</v>
      </c>
      <c r="I42" s="160">
        <f t="shared" si="13"/>
        <v>5752181.8181818184</v>
      </c>
      <c r="J42" s="160">
        <f t="shared" si="13"/>
        <v>5134764.8484848486</v>
      </c>
      <c r="K42" s="161">
        <f t="shared" si="3"/>
        <v>15631646.666666668</v>
      </c>
      <c r="L42" s="152">
        <f t="shared" si="14"/>
        <v>425500</v>
      </c>
      <c r="M42" s="153">
        <f t="shared" si="14"/>
        <v>400648.27586206899</v>
      </c>
      <c r="N42" s="153">
        <f t="shared" si="14"/>
        <v>440854.94994438265</v>
      </c>
      <c r="O42" s="153">
        <f t="shared" si="14"/>
        <v>375676.08453837596</v>
      </c>
      <c r="P42" s="153">
        <f t="shared" si="14"/>
        <v>288594.02298850572</v>
      </c>
      <c r="Q42" s="153">
        <f t="shared" si="8"/>
        <v>242926.66666666666</v>
      </c>
      <c r="R42" s="153">
        <f t="shared" si="15"/>
        <v>290872.41379310342</v>
      </c>
      <c r="S42" s="153">
        <f t="shared" si="15"/>
        <v>379960.91954022984</v>
      </c>
      <c r="T42" s="153">
        <f t="shared" si="15"/>
        <v>415666.66666666663</v>
      </c>
      <c r="U42" s="153">
        <f t="shared" si="15"/>
        <v>445806.89655172417</v>
      </c>
      <c r="V42" s="153">
        <f t="shared" si="15"/>
        <v>493096.32925472746</v>
      </c>
      <c r="W42" s="153">
        <f t="shared" si="15"/>
        <v>545096.77419354836</v>
      </c>
      <c r="X42" s="153">
        <f t="shared" si="15"/>
        <v>537600</v>
      </c>
      <c r="Y42" s="153">
        <f t="shared" si="15"/>
        <v>475262.5</v>
      </c>
      <c r="Z42" s="153">
        <f t="shared" si="15"/>
        <v>529316.81034482759</v>
      </c>
      <c r="AA42" s="153">
        <f t="shared" si="15"/>
        <v>522455.1724137931</v>
      </c>
      <c r="AB42" s="153">
        <f t="shared" si="16"/>
        <v>516583.69905956113</v>
      </c>
      <c r="AC42" s="153">
        <f t="shared" si="16"/>
        <v>475381.81818181818</v>
      </c>
      <c r="AD42" s="153">
        <f t="shared" si="16"/>
        <v>474137.93103448278</v>
      </c>
      <c r="AE42" s="153">
        <f t="shared" si="16"/>
        <v>467407.52351097181</v>
      </c>
      <c r="AF42" s="153">
        <f t="shared" si="16"/>
        <v>445689.02821316617</v>
      </c>
      <c r="AG42" s="153">
        <f t="shared" si="16"/>
        <v>452090.5172413793</v>
      </c>
      <c r="AH42" s="153">
        <f t="shared" si="16"/>
        <v>427195</v>
      </c>
      <c r="AI42" s="153">
        <f t="shared" si="16"/>
        <v>429061.81818181818</v>
      </c>
      <c r="AJ42" s="153">
        <f t="shared" si="16"/>
        <v>422278.18181818182</v>
      </c>
      <c r="AK42" s="153">
        <f t="shared" si="16"/>
        <v>389275.71428571432</v>
      </c>
      <c r="AL42" s="153">
        <f t="shared" si="17"/>
        <v>434664.28571428574</v>
      </c>
      <c r="AM42" s="153">
        <f t="shared" si="17"/>
        <v>430000</v>
      </c>
      <c r="AN42" s="153">
        <f t="shared" si="17"/>
        <v>463800</v>
      </c>
      <c r="AO42" s="153">
        <f t="shared" si="17"/>
        <v>457600</v>
      </c>
      <c r="AP42" s="153">
        <f t="shared" si="17"/>
        <v>499600</v>
      </c>
      <c r="AQ42" s="153">
        <f t="shared" si="17"/>
        <v>475200</v>
      </c>
      <c r="AR42" s="153">
        <f t="shared" si="17"/>
        <v>349400</v>
      </c>
      <c r="AS42" s="153">
        <f t="shared" si="17"/>
        <v>376546.66666666663</v>
      </c>
      <c r="AT42" s="153">
        <f t="shared" si="17"/>
        <v>364400</v>
      </c>
      <c r="AU42" s="153">
        <f t="shared" si="17"/>
        <v>472000</v>
      </c>
      <c r="AV42" s="153">
        <f t="shared" si="17"/>
        <v>0</v>
      </c>
      <c r="AW42" s="153">
        <f t="shared" si="17"/>
        <v>0</v>
      </c>
      <c r="AX42" s="154">
        <f t="shared" si="17"/>
        <v>0</v>
      </c>
      <c r="AZ42" s="265"/>
      <c r="BC42" s="460">
        <f>IF($G42=BC$10,MATCH($F42,'kWh Summary All RSs'!$F$7:$F$40,0),0)</f>
        <v>0</v>
      </c>
      <c r="BD42" s="459">
        <f>IF($G42=BD$10,MATCH($F42,'kWh Summary All RSs'!$F$7:$F$40,0),0)</f>
        <v>0</v>
      </c>
      <c r="BE42" s="459">
        <f>IF($G42=BE$10,MATCH($F42,'kWh Summary All RSs'!$F$7:$F$40,0),0)</f>
        <v>31</v>
      </c>
    </row>
    <row r="43" spans="2:57" s="137" customFormat="1" ht="15" customHeight="1" x14ac:dyDescent="0.25">
      <c r="B43" s="265"/>
      <c r="D43" s="155">
        <f>'kWh Summary All RSs'!D38</f>
        <v>43200</v>
      </c>
      <c r="E43" s="156">
        <f>'kWh Summary All RSs'!E38</f>
        <v>43800</v>
      </c>
      <c r="F43" s="157">
        <f>'kWh Summary All RSs'!F38</f>
        <v>3394380733</v>
      </c>
      <c r="G43" s="158" t="str">
        <f>'kWh Summary All RSs'!I38</f>
        <v xml:space="preserve">RATE7   </v>
      </c>
      <c r="H43" s="159">
        <f t="shared" si="13"/>
        <v>0</v>
      </c>
      <c r="I43" s="160">
        <f t="shared" si="13"/>
        <v>1187592.2580645161</v>
      </c>
      <c r="J43" s="160">
        <f t="shared" si="13"/>
        <v>2318167.7419354841</v>
      </c>
      <c r="K43" s="161">
        <f t="shared" si="3"/>
        <v>3505760</v>
      </c>
      <c r="L43" s="152"/>
      <c r="M43" s="153" t="str">
        <f t="shared" ref="M43:P45" si="18">IF(M$11=0,0,INDEX(KWH_Actual_Monthly,SUM($BC43:$BE43),MATCH(M$11,KWh_Month)))</f>
        <v/>
      </c>
      <c r="N43" s="153" t="str">
        <f t="shared" si="18"/>
        <v/>
      </c>
      <c r="O43" s="153" t="str">
        <f t="shared" si="18"/>
        <v/>
      </c>
      <c r="P43" s="153" t="str">
        <f t="shared" si="18"/>
        <v/>
      </c>
      <c r="Q43" s="153" t="str">
        <f t="shared" si="8"/>
        <v/>
      </c>
      <c r="R43" s="153" t="str">
        <f t="shared" si="15"/>
        <v/>
      </c>
      <c r="S43" s="153" t="str">
        <f t="shared" si="15"/>
        <v/>
      </c>
      <c r="T43" s="153" t="str">
        <f t="shared" si="15"/>
        <v/>
      </c>
      <c r="U43" s="153" t="str">
        <f t="shared" si="15"/>
        <v/>
      </c>
      <c r="V43" s="153" t="str">
        <f t="shared" si="15"/>
        <v/>
      </c>
      <c r="W43" s="153" t="str">
        <f t="shared" si="15"/>
        <v/>
      </c>
      <c r="X43" s="153" t="str">
        <f t="shared" si="15"/>
        <v/>
      </c>
      <c r="Y43" s="153" t="str">
        <f t="shared" si="15"/>
        <v/>
      </c>
      <c r="Z43" s="153" t="str">
        <f t="shared" si="15"/>
        <v/>
      </c>
      <c r="AA43" s="153">
        <f t="shared" si="15"/>
        <v>78273.103448275855</v>
      </c>
      <c r="AB43" s="153">
        <f t="shared" si="16"/>
        <v>108044.47230929989</v>
      </c>
      <c r="AC43" s="153">
        <f t="shared" si="16"/>
        <v>114269.09090909091</v>
      </c>
      <c r="AD43" s="153">
        <f t="shared" si="16"/>
        <v>112869.88505747126</v>
      </c>
      <c r="AE43" s="153">
        <f t="shared" si="16"/>
        <v>136487.69070010449</v>
      </c>
      <c r="AF43" s="153">
        <f t="shared" si="16"/>
        <v>154651.61964472311</v>
      </c>
      <c r="AG43" s="153">
        <f t="shared" si="16"/>
        <v>168408.27586206899</v>
      </c>
      <c r="AH43" s="153">
        <f t="shared" si="16"/>
        <v>157405.5590386625</v>
      </c>
      <c r="AI43" s="153">
        <f t="shared" si="16"/>
        <v>157182.56109481916</v>
      </c>
      <c r="AJ43" s="153">
        <f t="shared" si="16"/>
        <v>152268.38709677418</v>
      </c>
      <c r="AK43" s="153">
        <f t="shared" si="16"/>
        <v>162031.76863181312</v>
      </c>
      <c r="AL43" s="153">
        <f t="shared" si="17"/>
        <v>198587.58620689655</v>
      </c>
      <c r="AM43" s="153">
        <f t="shared" si="17"/>
        <v>194240</v>
      </c>
      <c r="AN43" s="153">
        <f t="shared" si="17"/>
        <v>213440</v>
      </c>
      <c r="AO43" s="153">
        <f t="shared" si="17"/>
        <v>196800</v>
      </c>
      <c r="AP43" s="153">
        <f t="shared" si="17"/>
        <v>207040</v>
      </c>
      <c r="AQ43" s="153">
        <f t="shared" si="17"/>
        <v>197440</v>
      </c>
      <c r="AR43" s="153">
        <f t="shared" si="17"/>
        <v>198080</v>
      </c>
      <c r="AS43" s="153">
        <f t="shared" si="17"/>
        <v>198880</v>
      </c>
      <c r="AT43" s="153">
        <f t="shared" si="17"/>
        <v>192320</v>
      </c>
      <c r="AU43" s="153">
        <f t="shared" si="17"/>
        <v>207040</v>
      </c>
      <c r="AV43" s="153">
        <f t="shared" si="17"/>
        <v>0</v>
      </c>
      <c r="AW43" s="153">
        <f t="shared" si="17"/>
        <v>0</v>
      </c>
      <c r="AX43" s="154">
        <f t="shared" si="17"/>
        <v>0</v>
      </c>
      <c r="AZ43" s="265"/>
      <c r="BC43" s="460">
        <f>IF($G43=BC$10,MATCH($F43,'kWh Summary All RSs'!$F$7:$F$40,0),0)</f>
        <v>0</v>
      </c>
      <c r="BD43" s="459">
        <f>IF($G43=BD$10,MATCH($F43,'kWh Summary All RSs'!$F$7:$F$40,0),0)</f>
        <v>0</v>
      </c>
      <c r="BE43" s="459">
        <f>IF($G43=BE$10,MATCH($F43,'kWh Summary All RSs'!$F$7:$F$40,0),0)</f>
        <v>32</v>
      </c>
    </row>
    <row r="44" spans="2:57" s="137" customFormat="1" ht="15" customHeight="1" x14ac:dyDescent="0.25">
      <c r="B44" s="265"/>
      <c r="D44" s="155">
        <f>'kWh Summary All RSs'!D39</f>
        <v>42725</v>
      </c>
      <c r="E44" s="156">
        <f>'kWh Summary All RSs'!E39</f>
        <v>43800</v>
      </c>
      <c r="F44" s="157">
        <f>'kWh Summary All RSs'!F39</f>
        <v>7221004197</v>
      </c>
      <c r="G44" s="158" t="str">
        <f>'kWh Summary All RSs'!I39</f>
        <v xml:space="preserve">RATE7   </v>
      </c>
      <c r="H44" s="159">
        <f t="shared" si="13"/>
        <v>94221.411764705888</v>
      </c>
      <c r="I44" s="160">
        <f t="shared" si="13"/>
        <v>446327.36242884252</v>
      </c>
      <c r="J44" s="160">
        <f t="shared" si="13"/>
        <v>4507851.2677644938</v>
      </c>
      <c r="K44" s="161">
        <f t="shared" si="3"/>
        <v>5048400.0419580424</v>
      </c>
      <c r="L44" s="152">
        <f>IF(L$11=0,0,INDEX(KWH_Actual_Monthly,SUM($BC44:$BE44),MATCH(L$11,KWh_Month)))</f>
        <v>2087</v>
      </c>
      <c r="M44" s="153">
        <f t="shared" si="18"/>
        <v>6171.2068965517246</v>
      </c>
      <c r="N44" s="153">
        <f t="shared" si="18"/>
        <v>11395.862068965518</v>
      </c>
      <c r="O44" s="153">
        <f t="shared" si="18"/>
        <v>10371.724137931034</v>
      </c>
      <c r="P44" s="153">
        <f t="shared" si="18"/>
        <v>8803.7068965517246</v>
      </c>
      <c r="Q44" s="153">
        <f t="shared" si="8"/>
        <v>6550.5</v>
      </c>
      <c r="R44" s="153">
        <f t="shared" si="15"/>
        <v>7685.7931034482754</v>
      </c>
      <c r="S44" s="153">
        <f t="shared" si="15"/>
        <v>10434.956896551725</v>
      </c>
      <c r="T44" s="153">
        <f t="shared" si="15"/>
        <v>9476.7672413793116</v>
      </c>
      <c r="U44" s="153">
        <f t="shared" si="15"/>
        <v>11390.48275862069</v>
      </c>
      <c r="V44" s="153">
        <f t="shared" si="15"/>
        <v>7187.636363636364</v>
      </c>
      <c r="W44" s="153">
        <f t="shared" si="15"/>
        <v>2665.7754010695189</v>
      </c>
      <c r="X44" s="153">
        <f t="shared" si="15"/>
        <v>3010.588235294118</v>
      </c>
      <c r="Y44" s="153">
        <f t="shared" si="15"/>
        <v>2157.9310344827586</v>
      </c>
      <c r="Z44" s="153">
        <f t="shared" si="15"/>
        <v>3418.1979977753062</v>
      </c>
      <c r="AA44" s="153">
        <f t="shared" si="15"/>
        <v>4882.4916573971077</v>
      </c>
      <c r="AB44" s="153">
        <f t="shared" si="16"/>
        <v>869.7664071190211</v>
      </c>
      <c r="AC44" s="153">
        <f t="shared" si="16"/>
        <v>2587.8629032258063</v>
      </c>
      <c r="AD44" s="153">
        <f t="shared" si="16"/>
        <v>5356.1637931034484</v>
      </c>
      <c r="AE44" s="153">
        <f t="shared" si="16"/>
        <v>3680.3134796238246</v>
      </c>
      <c r="AF44" s="153">
        <f t="shared" si="16"/>
        <v>6302.4451410658303</v>
      </c>
      <c r="AG44" s="153">
        <f t="shared" si="16"/>
        <v>8517.7308120133494</v>
      </c>
      <c r="AH44" s="153">
        <f t="shared" si="16"/>
        <v>90363.870967741939</v>
      </c>
      <c r="AI44" s="153">
        <f t="shared" si="16"/>
        <v>315180</v>
      </c>
      <c r="AJ44" s="153">
        <f t="shared" si="16"/>
        <v>335648.22580645164</v>
      </c>
      <c r="AK44" s="153">
        <f t="shared" si="16"/>
        <v>363512.14285714284</v>
      </c>
      <c r="AL44" s="153">
        <f t="shared" si="17"/>
        <v>453402.85714285716</v>
      </c>
      <c r="AM44" s="153">
        <f t="shared" si="17"/>
        <v>449160</v>
      </c>
      <c r="AN44" s="153">
        <f t="shared" si="17"/>
        <v>760.90909090909099</v>
      </c>
      <c r="AO44" s="153">
        <f t="shared" si="17"/>
        <v>736.36363636363637</v>
      </c>
      <c r="AP44" s="153">
        <f t="shared" si="17"/>
        <v>711330.76923076925</v>
      </c>
      <c r="AQ44" s="153">
        <f t="shared" si="17"/>
        <v>426480</v>
      </c>
      <c r="AR44" s="153">
        <f t="shared" si="17"/>
        <v>408420</v>
      </c>
      <c r="AS44" s="153">
        <f t="shared" si="17"/>
        <v>450060</v>
      </c>
      <c r="AT44" s="153">
        <f t="shared" si="17"/>
        <v>452340</v>
      </c>
      <c r="AU44" s="153">
        <f t="shared" si="17"/>
        <v>456000</v>
      </c>
      <c r="AV44" s="153">
        <f t="shared" si="17"/>
        <v>0</v>
      </c>
      <c r="AW44" s="153">
        <f t="shared" si="17"/>
        <v>0</v>
      </c>
      <c r="AX44" s="154">
        <f t="shared" si="17"/>
        <v>0</v>
      </c>
      <c r="AZ44" s="265"/>
      <c r="BC44" s="460">
        <f>IF($G44=BC$10,MATCH($F44,'kWh Summary All RSs'!$F$7:$F$40,0),0)</f>
        <v>0</v>
      </c>
      <c r="BD44" s="459">
        <f>IF($G44=BD$10,MATCH($F44,'kWh Summary All RSs'!$F$7:$F$40,0),0)</f>
        <v>0</v>
      </c>
      <c r="BE44" s="459">
        <f>IF($G44=BE$10,MATCH($F44,'kWh Summary All RSs'!$F$7:$F$40,0),0)</f>
        <v>33</v>
      </c>
    </row>
    <row r="45" spans="2:57" s="137" customFormat="1" ht="15" customHeight="1" thickBot="1" x14ac:dyDescent="0.3">
      <c r="B45" s="265"/>
      <c r="D45" s="162">
        <f>'kWh Summary All RSs'!D40</f>
        <v>42842</v>
      </c>
      <c r="E45" s="163">
        <f>'kWh Summary All RSs'!E40</f>
        <v>43800</v>
      </c>
      <c r="F45" s="164">
        <f>'kWh Summary All RSs'!F40</f>
        <v>9912856653</v>
      </c>
      <c r="G45" s="165" t="str">
        <f>'kWh Summary All RSs'!I40</f>
        <v xml:space="preserve">RATE7   </v>
      </c>
      <c r="H45" s="166">
        <f t="shared" si="13"/>
        <v>2337923.8095238097</v>
      </c>
      <c r="I45" s="167">
        <f t="shared" si="13"/>
        <v>6533650.9090909092</v>
      </c>
      <c r="J45" s="167">
        <f t="shared" si="13"/>
        <v>5825469.0909090908</v>
      </c>
      <c r="K45" s="168">
        <f t="shared" si="3"/>
        <v>14697043.80952381</v>
      </c>
      <c r="L45" s="169"/>
      <c r="M45" s="170" t="str">
        <f t="shared" si="18"/>
        <v/>
      </c>
      <c r="N45" s="170" t="str">
        <f t="shared" si="18"/>
        <v/>
      </c>
      <c r="O45" s="170">
        <f t="shared" si="18"/>
        <v>25810.706075533661</v>
      </c>
      <c r="P45" s="170">
        <f t="shared" si="18"/>
        <v>59307.770114942527</v>
      </c>
      <c r="Q45" s="170">
        <f t="shared" si="8"/>
        <v>60085.333333333336</v>
      </c>
      <c r="R45" s="170">
        <f t="shared" si="15"/>
        <v>65428.965517241377</v>
      </c>
      <c r="S45" s="170">
        <f t="shared" si="15"/>
        <v>109477.70114942528</v>
      </c>
      <c r="T45" s="170">
        <f t="shared" si="15"/>
        <v>324094.71264367813</v>
      </c>
      <c r="U45" s="170">
        <f t="shared" si="15"/>
        <v>543258.62068965519</v>
      </c>
      <c r="V45" s="170">
        <f t="shared" si="15"/>
        <v>563169.67741935491</v>
      </c>
      <c r="W45" s="170">
        <f t="shared" si="15"/>
        <v>587290.32258064521</v>
      </c>
      <c r="X45" s="170">
        <f t="shared" si="15"/>
        <v>589884.13793103443</v>
      </c>
      <c r="Y45" s="170">
        <f t="shared" si="15"/>
        <v>527765.86206896557</v>
      </c>
      <c r="Z45" s="170">
        <f t="shared" si="15"/>
        <v>565944.48275862075</v>
      </c>
      <c r="AA45" s="170">
        <f t="shared" si="15"/>
        <v>520739.31034482759</v>
      </c>
      <c r="AB45" s="170">
        <f t="shared" si="16"/>
        <v>543498.93416927895</v>
      </c>
      <c r="AC45" s="170">
        <f t="shared" si="16"/>
        <v>536087.27272727271</v>
      </c>
      <c r="AD45" s="170">
        <f t="shared" si="16"/>
        <v>559360</v>
      </c>
      <c r="AE45" s="170">
        <f t="shared" si="16"/>
        <v>532727.27272727271</v>
      </c>
      <c r="AF45" s="170">
        <f t="shared" si="16"/>
        <v>472431.34796238248</v>
      </c>
      <c r="AG45" s="170">
        <f t="shared" si="16"/>
        <v>545871.37931034481</v>
      </c>
      <c r="AH45" s="170">
        <f t="shared" si="16"/>
        <v>580810</v>
      </c>
      <c r="AI45" s="170">
        <f t="shared" si="16"/>
        <v>558530.90909090906</v>
      </c>
      <c r="AJ45" s="170">
        <f t="shared" si="16"/>
        <v>540471.75757575757</v>
      </c>
      <c r="AK45" s="170">
        <f t="shared" si="16"/>
        <v>467088.76190476189</v>
      </c>
      <c r="AL45" s="170">
        <f t="shared" si="17"/>
        <v>520788.57142857142</v>
      </c>
      <c r="AM45" s="170">
        <f t="shared" si="17"/>
        <v>511359.99999999994</v>
      </c>
      <c r="AN45" s="170">
        <f t="shared" si="17"/>
        <v>536800</v>
      </c>
      <c r="AO45" s="170">
        <f t="shared" si="17"/>
        <v>508160.00000000006</v>
      </c>
      <c r="AP45" s="170">
        <f t="shared" si="17"/>
        <v>489920</v>
      </c>
      <c r="AQ45" s="170">
        <f t="shared" si="17"/>
        <v>463680</v>
      </c>
      <c r="AR45" s="170">
        <f t="shared" si="17"/>
        <v>452960</v>
      </c>
      <c r="AS45" s="170">
        <f t="shared" si="17"/>
        <v>456320</v>
      </c>
      <c r="AT45" s="170">
        <f t="shared" si="17"/>
        <v>433920</v>
      </c>
      <c r="AU45" s="170">
        <f t="shared" si="17"/>
        <v>444000</v>
      </c>
      <c r="AV45" s="170">
        <f t="shared" si="17"/>
        <v>0</v>
      </c>
      <c r="AW45" s="170">
        <f t="shared" si="17"/>
        <v>0</v>
      </c>
      <c r="AX45" s="171">
        <f t="shared" si="17"/>
        <v>0</v>
      </c>
      <c r="AZ45" s="265"/>
      <c r="BC45" s="461">
        <f>IF($G45=BC$10,MATCH($F45,'kWh Summary All RSs'!$F$7:$F$40,0),0)</f>
        <v>0</v>
      </c>
      <c r="BD45" s="461">
        <f>IF($G45=BD$10,MATCH($F45,'kWh Summary All RSs'!$F$7:$F$40,0),0)</f>
        <v>0</v>
      </c>
      <c r="BE45" s="461">
        <f>IF($G45=BE$10,MATCH($F45,'kWh Summary All RSs'!$F$7:$F$40,0),0)</f>
        <v>34</v>
      </c>
    </row>
    <row r="46" spans="2:57" s="137" customFormat="1" ht="15" customHeight="1" x14ac:dyDescent="0.25">
      <c r="B46" s="265"/>
      <c r="D46" s="172"/>
      <c r="E46" s="172"/>
      <c r="F46" s="172"/>
      <c r="G46" s="172"/>
      <c r="H46" s="173">
        <f>SUM(H12:H45)</f>
        <v>90466760.856097043</v>
      </c>
      <c r="I46" s="173">
        <f>SUM(I12:I45)</f>
        <v>203105606.47555354</v>
      </c>
      <c r="J46" s="173">
        <f t="shared" ref="J46:AX46" si="19">SUM(J12:J45)</f>
        <v>197386994.82049099</v>
      </c>
      <c r="K46" s="173">
        <f>SUM(K12:K45)</f>
        <v>490959362.15214151</v>
      </c>
      <c r="L46" s="174">
        <f t="shared" ref="L46:W46" si="20">SUM(L12:L45)</f>
        <v>7013512.272686936</v>
      </c>
      <c r="M46" s="174">
        <f t="shared" si="20"/>
        <v>5866971.3144166926</v>
      </c>
      <c r="N46" s="174">
        <f t="shared" si="20"/>
        <v>6425815.9708657609</v>
      </c>
      <c r="O46" s="174">
        <f t="shared" si="20"/>
        <v>5998189.8835743424</v>
      </c>
      <c r="P46" s="174">
        <f t="shared" si="20"/>
        <v>6383473.2526070634</v>
      </c>
      <c r="Q46" s="174">
        <f t="shared" si="20"/>
        <v>6647593.2733477009</v>
      </c>
      <c r="R46" s="174">
        <f t="shared" si="20"/>
        <v>7301193.3591889972</v>
      </c>
      <c r="S46" s="174">
        <f t="shared" si="20"/>
        <v>7559374.7284857947</v>
      </c>
      <c r="T46" s="174">
        <f t="shared" si="20"/>
        <v>8052216.7239692509</v>
      </c>
      <c r="U46" s="174">
        <f t="shared" si="20"/>
        <v>8886380.0105797574</v>
      </c>
      <c r="V46" s="174">
        <f t="shared" si="20"/>
        <v>9129995.7215591893</v>
      </c>
      <c r="W46" s="174">
        <f t="shared" si="20"/>
        <v>11202044.344815565</v>
      </c>
      <c r="X46" s="174">
        <f t="shared" si="19"/>
        <v>13991272.451712148</v>
      </c>
      <c r="Y46" s="174">
        <f t="shared" si="19"/>
        <v>14735038.18275862</v>
      </c>
      <c r="Z46" s="174">
        <f t="shared" si="19"/>
        <v>17237619.310150169</v>
      </c>
      <c r="AA46" s="174">
        <f t="shared" si="19"/>
        <v>16960382.860720668</v>
      </c>
      <c r="AB46" s="174">
        <f t="shared" si="19"/>
        <v>18086043.532162204</v>
      </c>
      <c r="AC46" s="174">
        <f t="shared" si="19"/>
        <v>17788111.726349141</v>
      </c>
      <c r="AD46" s="174">
        <f t="shared" si="19"/>
        <v>18551899.051091913</v>
      </c>
      <c r="AE46" s="174">
        <f t="shared" si="19"/>
        <v>17381048.24031993</v>
      </c>
      <c r="AF46" s="174">
        <f t="shared" si="19"/>
        <v>16864869.467445031</v>
      </c>
      <c r="AG46" s="174">
        <f t="shared" si="19"/>
        <v>17098740.456804466</v>
      </c>
      <c r="AH46" s="174">
        <f t="shared" si="19"/>
        <v>16483949.693092283</v>
      </c>
      <c r="AI46" s="174">
        <f t="shared" si="19"/>
        <v>17926631.502946928</v>
      </c>
      <c r="AJ46" s="174">
        <f t="shared" si="19"/>
        <v>14330197.343136262</v>
      </c>
      <c r="AK46" s="174">
        <f t="shared" si="19"/>
        <v>10321304.146022035</v>
      </c>
      <c r="AL46" s="174">
        <f t="shared" si="19"/>
        <v>11239185.888432201</v>
      </c>
      <c r="AM46" s="174">
        <f t="shared" si="19"/>
        <v>13732657.150863597</v>
      </c>
      <c r="AN46" s="174">
        <f t="shared" si="19"/>
        <v>18172809.818202563</v>
      </c>
      <c r="AO46" s="174">
        <f t="shared" si="19"/>
        <v>18174957.183609493</v>
      </c>
      <c r="AP46" s="174">
        <f t="shared" si="19"/>
        <v>20092396.79565262</v>
      </c>
      <c r="AQ46" s="174">
        <f t="shared" si="19"/>
        <v>19391083.247260381</v>
      </c>
      <c r="AR46" s="174">
        <f t="shared" si="19"/>
        <v>17713389.566820279</v>
      </c>
      <c r="AS46" s="174">
        <f t="shared" si="19"/>
        <v>18269907.615975425</v>
      </c>
      <c r="AT46" s="174">
        <f t="shared" si="19"/>
        <v>17842489.225806452</v>
      </c>
      <c r="AU46" s="174">
        <f t="shared" si="19"/>
        <v>18106616.838709679</v>
      </c>
      <c r="AV46" s="174">
        <f t="shared" si="19"/>
        <v>0</v>
      </c>
      <c r="AW46" s="174">
        <f t="shared" si="19"/>
        <v>0</v>
      </c>
      <c r="AX46" s="174">
        <f t="shared" si="19"/>
        <v>0</v>
      </c>
      <c r="AZ46" s="265"/>
      <c r="BC46" s="175"/>
      <c r="BD46" s="176"/>
      <c r="BE46" s="176"/>
    </row>
    <row r="47" spans="2:57" s="137" customFormat="1" ht="15.75" thickBot="1" x14ac:dyDescent="0.3">
      <c r="B47" s="265"/>
      <c r="D47" s="172"/>
      <c r="E47" s="172"/>
      <c r="F47" s="28" t="s">
        <v>7</v>
      </c>
      <c r="G47" s="400">
        <f>SUM(L49:AU54)</f>
        <v>490959362.15214157</v>
      </c>
      <c r="AZ47" s="265"/>
    </row>
    <row r="48" spans="2:57" s="29" customFormat="1" ht="15.75" thickBot="1" x14ac:dyDescent="0.3">
      <c r="B48" s="266"/>
      <c r="D48" s="27"/>
      <c r="G48" s="30" t="s">
        <v>8</v>
      </c>
      <c r="H48" s="31">
        <f>H10</f>
        <v>2017</v>
      </c>
      <c r="I48" s="31">
        <f t="shared" ref="I48:J48" si="21">I10</f>
        <v>2018</v>
      </c>
      <c r="J48" s="31">
        <f t="shared" si="21"/>
        <v>2019</v>
      </c>
      <c r="K48" s="304" t="str">
        <f>K10</f>
        <v>Study Period</v>
      </c>
      <c r="L48" s="105">
        <f t="shared" ref="L48:AU48" si="22">L11</f>
        <v>42736</v>
      </c>
      <c r="M48" s="32">
        <f t="shared" si="22"/>
        <v>42767</v>
      </c>
      <c r="N48" s="32">
        <f t="shared" si="22"/>
        <v>42795</v>
      </c>
      <c r="O48" s="32">
        <f t="shared" si="22"/>
        <v>42826</v>
      </c>
      <c r="P48" s="32">
        <f t="shared" si="22"/>
        <v>42856</v>
      </c>
      <c r="Q48" s="32">
        <f t="shared" si="22"/>
        <v>42887</v>
      </c>
      <c r="R48" s="32">
        <f t="shared" si="22"/>
        <v>42917</v>
      </c>
      <c r="S48" s="32">
        <f t="shared" si="22"/>
        <v>42948</v>
      </c>
      <c r="T48" s="32">
        <f t="shared" si="22"/>
        <v>42979</v>
      </c>
      <c r="U48" s="32">
        <f t="shared" si="22"/>
        <v>43009</v>
      </c>
      <c r="V48" s="32">
        <f t="shared" si="22"/>
        <v>43040</v>
      </c>
      <c r="W48" s="32">
        <f t="shared" si="22"/>
        <v>43070</v>
      </c>
      <c r="X48" s="32">
        <f t="shared" si="22"/>
        <v>43101</v>
      </c>
      <c r="Y48" s="32">
        <f t="shared" si="22"/>
        <v>43132</v>
      </c>
      <c r="Z48" s="32">
        <f t="shared" si="22"/>
        <v>43160</v>
      </c>
      <c r="AA48" s="32">
        <f t="shared" si="22"/>
        <v>43191</v>
      </c>
      <c r="AB48" s="32">
        <f t="shared" si="22"/>
        <v>43221</v>
      </c>
      <c r="AC48" s="32">
        <f t="shared" si="22"/>
        <v>43252</v>
      </c>
      <c r="AD48" s="32">
        <f t="shared" si="22"/>
        <v>43282</v>
      </c>
      <c r="AE48" s="32">
        <f t="shared" si="22"/>
        <v>43313</v>
      </c>
      <c r="AF48" s="32">
        <f t="shared" si="22"/>
        <v>43344</v>
      </c>
      <c r="AG48" s="32">
        <f t="shared" si="22"/>
        <v>43374</v>
      </c>
      <c r="AH48" s="32">
        <f t="shared" si="22"/>
        <v>43405</v>
      </c>
      <c r="AI48" s="32">
        <f t="shared" si="22"/>
        <v>43435</v>
      </c>
      <c r="AJ48" s="32">
        <f t="shared" si="22"/>
        <v>43466</v>
      </c>
      <c r="AK48" s="32">
        <f t="shared" si="22"/>
        <v>43497</v>
      </c>
      <c r="AL48" s="32">
        <f t="shared" si="22"/>
        <v>43525</v>
      </c>
      <c r="AM48" s="32">
        <f t="shared" si="22"/>
        <v>43556</v>
      </c>
      <c r="AN48" s="32">
        <f t="shared" si="22"/>
        <v>43586</v>
      </c>
      <c r="AO48" s="32">
        <f t="shared" si="22"/>
        <v>43617</v>
      </c>
      <c r="AP48" s="32">
        <f t="shared" si="22"/>
        <v>43647</v>
      </c>
      <c r="AQ48" s="32">
        <f t="shared" si="22"/>
        <v>43678</v>
      </c>
      <c r="AR48" s="32">
        <f t="shared" si="22"/>
        <v>43709</v>
      </c>
      <c r="AS48" s="32">
        <f t="shared" si="22"/>
        <v>43739</v>
      </c>
      <c r="AT48" s="32">
        <f t="shared" si="22"/>
        <v>43770</v>
      </c>
      <c r="AU48" s="32">
        <f t="shared" si="22"/>
        <v>43800</v>
      </c>
      <c r="AV48" s="32">
        <f t="shared" ref="AV48:AX48" si="23">AV11</f>
        <v>0</v>
      </c>
      <c r="AW48" s="32">
        <f t="shared" si="23"/>
        <v>0</v>
      </c>
      <c r="AX48" s="33">
        <f t="shared" si="23"/>
        <v>0</v>
      </c>
      <c r="AZ48" s="266"/>
    </row>
    <row r="49" spans="2:52" s="29" customFormat="1" x14ac:dyDescent="0.25">
      <c r="B49" s="266"/>
      <c r="D49" s="27"/>
      <c r="E49" s="27"/>
      <c r="G49" s="34" t="s">
        <v>15</v>
      </c>
      <c r="H49" s="35">
        <f>SUM(L49:W49)</f>
        <v>282360.24825601839</v>
      </c>
      <c r="I49" s="35">
        <f>SUM(X49:AI49)</f>
        <v>539185.22181731928</v>
      </c>
      <c r="J49" s="35">
        <f t="shared" ref="J49:J54" si="24">SUM(AJ49:AU49)</f>
        <v>177696.32965326894</v>
      </c>
      <c r="K49" s="305">
        <f>SUM(H49:J49)</f>
        <v>999241.79972660658</v>
      </c>
      <c r="L49" s="309">
        <f t="shared" ref="L49:U51" si="25">IF(L$11&lt;$E$4,SUMIF($G$12:$G$45,$G49,L$12:L$45),0)</f>
        <v>22321.521380772079</v>
      </c>
      <c r="M49" s="86">
        <f t="shared" si="25"/>
        <v>23820.314939157986</v>
      </c>
      <c r="N49" s="86">
        <f t="shared" si="25"/>
        <v>26558.498520241345</v>
      </c>
      <c r="O49" s="86">
        <f t="shared" si="25"/>
        <v>22676.939933259175</v>
      </c>
      <c r="P49" s="86">
        <f t="shared" si="25"/>
        <v>23552.947341954023</v>
      </c>
      <c r="Q49" s="86">
        <f t="shared" si="25"/>
        <v>4843.4208333333336</v>
      </c>
      <c r="R49" s="86">
        <f t="shared" si="25"/>
        <v>23413.167969586633</v>
      </c>
      <c r="S49" s="86">
        <f t="shared" si="25"/>
        <v>24678.269189269002</v>
      </c>
      <c r="T49" s="86">
        <f t="shared" si="25"/>
        <v>23534.527323274451</v>
      </c>
      <c r="U49" s="86">
        <f t="shared" si="25"/>
        <v>24749.02105374671</v>
      </c>
      <c r="V49" s="86">
        <f t="shared" ref="V49:AE51" si="26">IF(V$11&lt;$E$4,SUMIF($G$12:$G$45,$G49,V$12:V$45),0)</f>
        <v>28312.734521869217</v>
      </c>
      <c r="W49" s="86">
        <f t="shared" si="26"/>
        <v>33898.885249554369</v>
      </c>
      <c r="X49" s="86">
        <f t="shared" si="26"/>
        <v>33236.775608519267</v>
      </c>
      <c r="Y49" s="86">
        <f t="shared" si="26"/>
        <v>30738.816379310345</v>
      </c>
      <c r="Z49" s="86">
        <f t="shared" si="26"/>
        <v>36532.454477196879</v>
      </c>
      <c r="AA49" s="86">
        <f t="shared" si="26"/>
        <v>37228.94178717093</v>
      </c>
      <c r="AB49" s="86">
        <f t="shared" si="26"/>
        <v>41085.080111108298</v>
      </c>
      <c r="AC49" s="86">
        <f t="shared" si="26"/>
        <v>44848.410190615832</v>
      </c>
      <c r="AD49" s="86">
        <f t="shared" si="26"/>
        <v>54546.138545142749</v>
      </c>
      <c r="AE49" s="86">
        <f t="shared" si="26"/>
        <v>53166.904068493604</v>
      </c>
      <c r="AF49" s="86">
        <f t="shared" ref="AF49:AO51" si="27">IF(AF$11&lt;$E$4,SUMIF($G$12:$G$45,$G49,AF$12:AF$45),0)</f>
        <v>48573.739921905071</v>
      </c>
      <c r="AG49" s="86">
        <f t="shared" si="27"/>
        <v>48324.952019056262</v>
      </c>
      <c r="AH49" s="86">
        <f t="shared" si="27"/>
        <v>52250.717149947748</v>
      </c>
      <c r="AI49" s="86">
        <f t="shared" si="27"/>
        <v>58652.291558852288</v>
      </c>
      <c r="AJ49" s="86">
        <f t="shared" si="27"/>
        <v>62194.605515337898</v>
      </c>
      <c r="AK49" s="86">
        <f t="shared" si="27"/>
        <v>57401.905132687112</v>
      </c>
      <c r="AL49" s="86">
        <f t="shared" si="27"/>
        <v>58099.819005243924</v>
      </c>
      <c r="AM49" s="86">
        <f t="shared" si="27"/>
        <v>0</v>
      </c>
      <c r="AN49" s="86">
        <f t="shared" si="27"/>
        <v>0</v>
      </c>
      <c r="AO49" s="86">
        <f t="shared" si="27"/>
        <v>0</v>
      </c>
      <c r="AP49" s="86">
        <f t="shared" ref="AP49:AX51" si="28">IF(AP$11&lt;$E$4,SUMIF($G$12:$G$45,$G49,AP$12:AP$45),0)</f>
        <v>0</v>
      </c>
      <c r="AQ49" s="86">
        <f t="shared" si="28"/>
        <v>0</v>
      </c>
      <c r="AR49" s="86">
        <f t="shared" si="28"/>
        <v>0</v>
      </c>
      <c r="AS49" s="86">
        <f t="shared" si="28"/>
        <v>0</v>
      </c>
      <c r="AT49" s="86">
        <f t="shared" si="28"/>
        <v>0</v>
      </c>
      <c r="AU49" s="86">
        <f t="shared" si="28"/>
        <v>0</v>
      </c>
      <c r="AV49" s="86">
        <f t="shared" si="28"/>
        <v>0</v>
      </c>
      <c r="AW49" s="86">
        <f t="shared" si="28"/>
        <v>0</v>
      </c>
      <c r="AX49" s="86">
        <f t="shared" si="28"/>
        <v>0</v>
      </c>
      <c r="AZ49" s="266"/>
    </row>
    <row r="50" spans="2:52" s="29" customFormat="1" x14ac:dyDescent="0.25">
      <c r="B50" s="266"/>
      <c r="D50" s="27"/>
      <c r="E50" s="36"/>
      <c r="G50" s="37" t="s">
        <v>16</v>
      </c>
      <c r="H50" s="38">
        <f>SUM(L50:W50)</f>
        <v>852966.40614162805</v>
      </c>
      <c r="I50" s="38">
        <f>SUM(X50:AI50)</f>
        <v>3856273.2679964323</v>
      </c>
      <c r="J50" s="38">
        <f t="shared" si="24"/>
        <v>1073567.3245356795</v>
      </c>
      <c r="K50" s="306">
        <f>SUM(H50:J50)</f>
        <v>5782806.9986737389</v>
      </c>
      <c r="L50" s="309">
        <f t="shared" si="25"/>
        <v>127624.09613375131</v>
      </c>
      <c r="M50" s="86">
        <f t="shared" si="25"/>
        <v>96968.229362591432</v>
      </c>
      <c r="N50" s="86">
        <f t="shared" si="25"/>
        <v>82023.484848484833</v>
      </c>
      <c r="O50" s="86">
        <f t="shared" si="25"/>
        <v>62284.563959955507</v>
      </c>
      <c r="P50" s="86">
        <f t="shared" si="25"/>
        <v>58926.537189469782</v>
      </c>
      <c r="Q50" s="86">
        <f t="shared" si="25"/>
        <v>53050.964583333342</v>
      </c>
      <c r="R50" s="86">
        <f t="shared" si="25"/>
        <v>52606.369194938816</v>
      </c>
      <c r="S50" s="86">
        <f t="shared" si="25"/>
        <v>51200.032888394519</v>
      </c>
      <c r="T50" s="86">
        <f t="shared" si="25"/>
        <v>50361.961806565698</v>
      </c>
      <c r="U50" s="86">
        <f t="shared" si="25"/>
        <v>53507.471526767629</v>
      </c>
      <c r="V50" s="86">
        <f t="shared" si="26"/>
        <v>58012.13278707378</v>
      </c>
      <c r="W50" s="86">
        <f t="shared" si="26"/>
        <v>106400.5618603013</v>
      </c>
      <c r="X50" s="86">
        <f t="shared" si="26"/>
        <v>191874.31523326153</v>
      </c>
      <c r="Y50" s="86">
        <f t="shared" si="26"/>
        <v>190620.67385057471</v>
      </c>
      <c r="Z50" s="86">
        <f t="shared" si="26"/>
        <v>209127.58008898777</v>
      </c>
      <c r="AA50" s="86">
        <f t="shared" si="26"/>
        <v>267087.57855529711</v>
      </c>
      <c r="AB50" s="86">
        <f t="shared" si="26"/>
        <v>387799.18552600534</v>
      </c>
      <c r="AC50" s="86">
        <f t="shared" si="26"/>
        <v>369652.39261131897</v>
      </c>
      <c r="AD50" s="86">
        <f t="shared" si="26"/>
        <v>377703.6675565443</v>
      </c>
      <c r="AE50" s="86">
        <f t="shared" si="26"/>
        <v>381670.45480066835</v>
      </c>
      <c r="AF50" s="86">
        <f t="shared" si="27"/>
        <v>370700.34275216813</v>
      </c>
      <c r="AG50" s="86">
        <f t="shared" si="27"/>
        <v>376758.66802233958</v>
      </c>
      <c r="AH50" s="86">
        <f t="shared" si="27"/>
        <v>360201.72815860214</v>
      </c>
      <c r="AI50" s="86">
        <f t="shared" si="27"/>
        <v>373076.68084066472</v>
      </c>
      <c r="AJ50" s="86">
        <f t="shared" si="27"/>
        <v>377296.82453567936</v>
      </c>
      <c r="AK50" s="86">
        <f t="shared" si="27"/>
        <v>337964.60714285716</v>
      </c>
      <c r="AL50" s="86">
        <f t="shared" si="27"/>
        <v>358305.89285714284</v>
      </c>
      <c r="AM50" s="86">
        <f t="shared" si="27"/>
        <v>0</v>
      </c>
      <c r="AN50" s="86">
        <f t="shared" si="27"/>
        <v>0</v>
      </c>
      <c r="AO50" s="86">
        <f t="shared" si="27"/>
        <v>0</v>
      </c>
      <c r="AP50" s="86">
        <f t="shared" si="28"/>
        <v>0</v>
      </c>
      <c r="AQ50" s="86">
        <f t="shared" si="28"/>
        <v>0</v>
      </c>
      <c r="AR50" s="86">
        <f t="shared" si="28"/>
        <v>0</v>
      </c>
      <c r="AS50" s="86">
        <f t="shared" si="28"/>
        <v>0</v>
      </c>
      <c r="AT50" s="86">
        <f t="shared" si="28"/>
        <v>0</v>
      </c>
      <c r="AU50" s="86">
        <f t="shared" si="28"/>
        <v>0</v>
      </c>
      <c r="AV50" s="86">
        <f t="shared" si="28"/>
        <v>0</v>
      </c>
      <c r="AW50" s="86">
        <f t="shared" si="28"/>
        <v>0</v>
      </c>
      <c r="AX50" s="86">
        <f t="shared" si="28"/>
        <v>0</v>
      </c>
      <c r="AZ50" s="266"/>
    </row>
    <row r="51" spans="2:52" s="29" customFormat="1" ht="15.75" thickBot="1" x14ac:dyDescent="0.3">
      <c r="B51" s="266"/>
      <c r="D51" s="27"/>
      <c r="E51" s="27"/>
      <c r="G51" s="39" t="s">
        <v>17</v>
      </c>
      <c r="H51" s="40">
        <f>SUM(L51:W51)</f>
        <v>89331434.201699406</v>
      </c>
      <c r="I51" s="40">
        <f>SUM(X51:AI51)</f>
        <v>198710147.98573974</v>
      </c>
      <c r="J51" s="40">
        <f t="shared" si="24"/>
        <v>34639423.723401546</v>
      </c>
      <c r="K51" s="307">
        <f>SUM(H51:J51)</f>
        <v>322681005.91084069</v>
      </c>
      <c r="L51" s="310">
        <f t="shared" si="25"/>
        <v>6863566.6551724132</v>
      </c>
      <c r="M51" s="88">
        <f t="shared" si="25"/>
        <v>5746182.7701149425</v>
      </c>
      <c r="N51" s="88">
        <f t="shared" si="25"/>
        <v>6317233.9874970345</v>
      </c>
      <c r="O51" s="88">
        <f t="shared" si="25"/>
        <v>5913228.3796811271</v>
      </c>
      <c r="P51" s="88">
        <f t="shared" si="25"/>
        <v>6300993.7680756385</v>
      </c>
      <c r="Q51" s="88">
        <f t="shared" si="25"/>
        <v>6589698.8879310349</v>
      </c>
      <c r="R51" s="88">
        <f t="shared" si="25"/>
        <v>7225173.8220244721</v>
      </c>
      <c r="S51" s="88">
        <f t="shared" si="25"/>
        <v>7483496.4264081307</v>
      </c>
      <c r="T51" s="88">
        <f t="shared" si="25"/>
        <v>7978320.2348394105</v>
      </c>
      <c r="U51" s="88">
        <f t="shared" si="25"/>
        <v>8808123.517999243</v>
      </c>
      <c r="V51" s="88">
        <f t="shared" si="26"/>
        <v>9043670.8542502467</v>
      </c>
      <c r="W51" s="88">
        <f t="shared" si="26"/>
        <v>11061744.89770571</v>
      </c>
      <c r="X51" s="88">
        <f t="shared" si="26"/>
        <v>13766161.360870367</v>
      </c>
      <c r="Y51" s="88">
        <f t="shared" si="26"/>
        <v>14513678.692528734</v>
      </c>
      <c r="Z51" s="88">
        <f t="shared" si="26"/>
        <v>16991959.275583982</v>
      </c>
      <c r="AA51" s="88">
        <f t="shared" si="26"/>
        <v>16656066.340378199</v>
      </c>
      <c r="AB51" s="88">
        <f t="shared" si="26"/>
        <v>17657159.26652509</v>
      </c>
      <c r="AC51" s="88">
        <f t="shared" si="26"/>
        <v>17373610.923547208</v>
      </c>
      <c r="AD51" s="88">
        <f t="shared" si="26"/>
        <v>18119649.244990226</v>
      </c>
      <c r="AE51" s="88">
        <f t="shared" si="26"/>
        <v>16946210.881450769</v>
      </c>
      <c r="AF51" s="88">
        <f t="shared" si="27"/>
        <v>16445595.384770956</v>
      </c>
      <c r="AG51" s="88">
        <f t="shared" si="27"/>
        <v>16673656.836763071</v>
      </c>
      <c r="AH51" s="88">
        <f t="shared" si="27"/>
        <v>16071497.247783735</v>
      </c>
      <c r="AI51" s="88">
        <f t="shared" si="27"/>
        <v>17494902.53054741</v>
      </c>
      <c r="AJ51" s="88">
        <f t="shared" si="27"/>
        <v>13890705.913085245</v>
      </c>
      <c r="AK51" s="88">
        <f t="shared" si="27"/>
        <v>9925937.6337464917</v>
      </c>
      <c r="AL51" s="88">
        <f t="shared" si="27"/>
        <v>10822780.176569814</v>
      </c>
      <c r="AM51" s="88">
        <f t="shared" si="27"/>
        <v>0</v>
      </c>
      <c r="AN51" s="88">
        <f t="shared" si="27"/>
        <v>0</v>
      </c>
      <c r="AO51" s="88">
        <f t="shared" si="27"/>
        <v>0</v>
      </c>
      <c r="AP51" s="88">
        <f t="shared" si="28"/>
        <v>0</v>
      </c>
      <c r="AQ51" s="88">
        <f t="shared" si="28"/>
        <v>0</v>
      </c>
      <c r="AR51" s="88">
        <f t="shared" si="28"/>
        <v>0</v>
      </c>
      <c r="AS51" s="88">
        <f t="shared" si="28"/>
        <v>0</v>
      </c>
      <c r="AT51" s="88">
        <f t="shared" si="28"/>
        <v>0</v>
      </c>
      <c r="AU51" s="88">
        <f t="shared" si="28"/>
        <v>0</v>
      </c>
      <c r="AV51" s="88">
        <f t="shared" si="28"/>
        <v>0</v>
      </c>
      <c r="AW51" s="88">
        <f t="shared" si="28"/>
        <v>0</v>
      </c>
      <c r="AX51" s="88">
        <f t="shared" si="28"/>
        <v>0</v>
      </c>
      <c r="AZ51" s="266"/>
    </row>
    <row r="52" spans="2:52" s="29" customFormat="1" x14ac:dyDescent="0.25">
      <c r="B52" s="266"/>
      <c r="D52" s="27"/>
      <c r="E52" s="27"/>
      <c r="F52" s="71"/>
      <c r="G52" s="34" t="s">
        <v>18</v>
      </c>
      <c r="H52" s="38">
        <f t="shared" ref="H52:H54" si="29">SUM(L52:W52)</f>
        <v>0</v>
      </c>
      <c r="I52" s="38">
        <f t="shared" ref="I52:I54" si="30">SUM(X52:AI52)</f>
        <v>0</v>
      </c>
      <c r="J52" s="38">
        <f t="shared" si="24"/>
        <v>446208</v>
      </c>
      <c r="K52" s="306">
        <f>SUM(H52:J52)</f>
        <v>446208</v>
      </c>
      <c r="L52" s="311">
        <f t="shared" ref="L52:AX52" si="31">IF(L$11&gt;=$E$4,SUMIF($G$12:$G$45,$G49,L$12:L$45),0)</f>
        <v>0</v>
      </c>
      <c r="M52" s="90">
        <f t="shared" si="31"/>
        <v>0</v>
      </c>
      <c r="N52" s="90">
        <f t="shared" si="31"/>
        <v>0</v>
      </c>
      <c r="O52" s="90">
        <f t="shared" si="31"/>
        <v>0</v>
      </c>
      <c r="P52" s="90">
        <f t="shared" si="31"/>
        <v>0</v>
      </c>
      <c r="Q52" s="90">
        <f t="shared" si="31"/>
        <v>0</v>
      </c>
      <c r="R52" s="90">
        <f t="shared" si="31"/>
        <v>0</v>
      </c>
      <c r="S52" s="90">
        <f t="shared" si="31"/>
        <v>0</v>
      </c>
      <c r="T52" s="90">
        <f t="shared" si="31"/>
        <v>0</v>
      </c>
      <c r="U52" s="90">
        <f t="shared" si="31"/>
        <v>0</v>
      </c>
      <c r="V52" s="90">
        <f t="shared" si="31"/>
        <v>0</v>
      </c>
      <c r="W52" s="90">
        <f t="shared" si="31"/>
        <v>0</v>
      </c>
      <c r="X52" s="90">
        <f t="shared" si="31"/>
        <v>0</v>
      </c>
      <c r="Y52" s="90">
        <f t="shared" si="31"/>
        <v>0</v>
      </c>
      <c r="Z52" s="90">
        <f t="shared" si="31"/>
        <v>0</v>
      </c>
      <c r="AA52" s="90">
        <f t="shared" si="31"/>
        <v>0</v>
      </c>
      <c r="AB52" s="90">
        <f t="shared" si="31"/>
        <v>0</v>
      </c>
      <c r="AC52" s="90">
        <f t="shared" si="31"/>
        <v>0</v>
      </c>
      <c r="AD52" s="90">
        <f t="shared" si="31"/>
        <v>0</v>
      </c>
      <c r="AE52" s="90">
        <f t="shared" si="31"/>
        <v>0</v>
      </c>
      <c r="AF52" s="90">
        <f t="shared" si="31"/>
        <v>0</v>
      </c>
      <c r="AG52" s="90">
        <f t="shared" si="31"/>
        <v>0</v>
      </c>
      <c r="AH52" s="90">
        <f t="shared" si="31"/>
        <v>0</v>
      </c>
      <c r="AI52" s="90">
        <f t="shared" si="31"/>
        <v>0</v>
      </c>
      <c r="AJ52" s="90">
        <f t="shared" si="31"/>
        <v>0</v>
      </c>
      <c r="AK52" s="90">
        <f t="shared" si="31"/>
        <v>0</v>
      </c>
      <c r="AL52" s="90">
        <f t="shared" si="31"/>
        <v>0</v>
      </c>
      <c r="AM52" s="90">
        <f t="shared" si="31"/>
        <v>57851</v>
      </c>
      <c r="AN52" s="90">
        <f t="shared" si="31"/>
        <v>49517</v>
      </c>
      <c r="AO52" s="90">
        <f t="shared" si="31"/>
        <v>44395</v>
      </c>
      <c r="AP52" s="90">
        <f t="shared" si="31"/>
        <v>43996</v>
      </c>
      <c r="AQ52" s="90">
        <f t="shared" si="31"/>
        <v>50342</v>
      </c>
      <c r="AR52" s="90">
        <f t="shared" si="31"/>
        <v>46340</v>
      </c>
      <c r="AS52" s="90">
        <f t="shared" si="31"/>
        <v>47345</v>
      </c>
      <c r="AT52" s="90">
        <f t="shared" si="31"/>
        <v>52003</v>
      </c>
      <c r="AU52" s="90">
        <f t="shared" si="31"/>
        <v>54419</v>
      </c>
      <c r="AV52" s="90">
        <f t="shared" si="31"/>
        <v>0</v>
      </c>
      <c r="AW52" s="90">
        <f t="shared" si="31"/>
        <v>0</v>
      </c>
      <c r="AX52" s="90">
        <f t="shared" si="31"/>
        <v>0</v>
      </c>
      <c r="AZ52" s="266"/>
    </row>
    <row r="53" spans="2:52" s="29" customFormat="1" x14ac:dyDescent="0.25">
      <c r="B53" s="266"/>
      <c r="D53" s="27"/>
      <c r="E53" s="27"/>
      <c r="F53" s="71"/>
      <c r="G53" s="37" t="s">
        <v>19</v>
      </c>
      <c r="H53" s="38">
        <f t="shared" si="29"/>
        <v>0</v>
      </c>
      <c r="I53" s="38">
        <f t="shared" si="30"/>
        <v>0</v>
      </c>
      <c r="J53" s="38">
        <f t="shared" si="24"/>
        <v>2767370.1083743842</v>
      </c>
      <c r="K53" s="306">
        <f>IF(K$11&gt;$E$4,SUMIF($G$12:$G$45,$G50,K$12:K$45),0)</f>
        <v>0</v>
      </c>
      <c r="L53" s="309">
        <f t="shared" ref="L53:AX53" si="32">IF(L$11&gt;=$E$4,SUMIF($G$12:$G$45,$G50,L$12:L$45),0)</f>
        <v>0</v>
      </c>
      <c r="M53" s="87">
        <f t="shared" si="32"/>
        <v>0</v>
      </c>
      <c r="N53" s="87">
        <f t="shared" si="32"/>
        <v>0</v>
      </c>
      <c r="O53" s="87">
        <f t="shared" si="32"/>
        <v>0</v>
      </c>
      <c r="P53" s="87">
        <f t="shared" si="32"/>
        <v>0</v>
      </c>
      <c r="Q53" s="87">
        <f t="shared" si="32"/>
        <v>0</v>
      </c>
      <c r="R53" s="87">
        <f t="shared" si="32"/>
        <v>0</v>
      </c>
      <c r="S53" s="87">
        <f t="shared" si="32"/>
        <v>0</v>
      </c>
      <c r="T53" s="87">
        <f t="shared" si="32"/>
        <v>0</v>
      </c>
      <c r="U53" s="87">
        <f t="shared" si="32"/>
        <v>0</v>
      </c>
      <c r="V53" s="87">
        <f t="shared" si="32"/>
        <v>0</v>
      </c>
      <c r="W53" s="87">
        <f t="shared" si="32"/>
        <v>0</v>
      </c>
      <c r="X53" s="87">
        <f t="shared" si="32"/>
        <v>0</v>
      </c>
      <c r="Y53" s="87">
        <f t="shared" si="32"/>
        <v>0</v>
      </c>
      <c r="Z53" s="87">
        <f t="shared" si="32"/>
        <v>0</v>
      </c>
      <c r="AA53" s="87">
        <f t="shared" si="32"/>
        <v>0</v>
      </c>
      <c r="AB53" s="87">
        <f t="shared" si="32"/>
        <v>0</v>
      </c>
      <c r="AC53" s="87">
        <f t="shared" si="32"/>
        <v>0</v>
      </c>
      <c r="AD53" s="87">
        <f t="shared" si="32"/>
        <v>0</v>
      </c>
      <c r="AE53" s="87">
        <f t="shared" si="32"/>
        <v>0</v>
      </c>
      <c r="AF53" s="87">
        <f t="shared" si="32"/>
        <v>0</v>
      </c>
      <c r="AG53" s="87">
        <f t="shared" si="32"/>
        <v>0</v>
      </c>
      <c r="AH53" s="87">
        <f t="shared" si="32"/>
        <v>0</v>
      </c>
      <c r="AI53" s="87">
        <f t="shared" si="32"/>
        <v>0</v>
      </c>
      <c r="AJ53" s="87">
        <f t="shared" si="32"/>
        <v>0</v>
      </c>
      <c r="AK53" s="87">
        <f t="shared" si="32"/>
        <v>0</v>
      </c>
      <c r="AL53" s="87">
        <f t="shared" si="32"/>
        <v>0</v>
      </c>
      <c r="AM53" s="87">
        <f t="shared" si="32"/>
        <v>263887.572223105</v>
      </c>
      <c r="AN53" s="87">
        <f t="shared" si="32"/>
        <v>208071.5361512792</v>
      </c>
      <c r="AO53" s="87">
        <f t="shared" si="32"/>
        <v>270392</v>
      </c>
      <c r="AP53" s="87">
        <f t="shared" si="32"/>
        <v>356813</v>
      </c>
      <c r="AQ53" s="87">
        <f t="shared" si="32"/>
        <v>337359</v>
      </c>
      <c r="AR53" s="87">
        <f t="shared" si="32"/>
        <v>317488</v>
      </c>
      <c r="AS53" s="87">
        <f t="shared" si="32"/>
        <v>338733</v>
      </c>
      <c r="AT53" s="87">
        <f t="shared" si="32"/>
        <v>333723</v>
      </c>
      <c r="AU53" s="87">
        <f t="shared" si="32"/>
        <v>340903</v>
      </c>
      <c r="AV53" s="87">
        <f t="shared" si="32"/>
        <v>0</v>
      </c>
      <c r="AW53" s="87">
        <f t="shared" si="32"/>
        <v>0</v>
      </c>
      <c r="AX53" s="87">
        <f t="shared" si="32"/>
        <v>0</v>
      </c>
      <c r="AZ53" s="266"/>
    </row>
    <row r="54" spans="2:52" s="29" customFormat="1" ht="15.75" thickBot="1" x14ac:dyDescent="0.3">
      <c r="B54" s="266"/>
      <c r="D54" s="27"/>
      <c r="E54" s="27"/>
      <c r="F54" s="71"/>
      <c r="G54" s="39" t="s">
        <v>20</v>
      </c>
      <c r="H54" s="40">
        <f t="shared" si="29"/>
        <v>0</v>
      </c>
      <c r="I54" s="40">
        <f t="shared" si="30"/>
        <v>0</v>
      </c>
      <c r="J54" s="40">
        <f t="shared" si="24"/>
        <v>158282729.33452612</v>
      </c>
      <c r="K54" s="307">
        <f>IF(K$11&gt;$E$4,SUMIF($G$12:$G$45,$G51,K$12:K$45),0)</f>
        <v>0</v>
      </c>
      <c r="L54" s="310">
        <f t="shared" ref="L54:AX54" si="33">IF(L$11&gt;=$E$4,SUMIF($G$12:$G$45,$G51,L$12:L$45),0)</f>
        <v>0</v>
      </c>
      <c r="M54" s="89">
        <f t="shared" si="33"/>
        <v>0</v>
      </c>
      <c r="N54" s="89">
        <f t="shared" si="33"/>
        <v>0</v>
      </c>
      <c r="O54" s="89">
        <f t="shared" si="33"/>
        <v>0</v>
      </c>
      <c r="P54" s="89">
        <f t="shared" si="33"/>
        <v>0</v>
      </c>
      <c r="Q54" s="89">
        <f t="shared" si="33"/>
        <v>0</v>
      </c>
      <c r="R54" s="89">
        <f t="shared" si="33"/>
        <v>0</v>
      </c>
      <c r="S54" s="89">
        <f t="shared" si="33"/>
        <v>0</v>
      </c>
      <c r="T54" s="89">
        <f t="shared" si="33"/>
        <v>0</v>
      </c>
      <c r="U54" s="89">
        <f t="shared" si="33"/>
        <v>0</v>
      </c>
      <c r="V54" s="89">
        <f t="shared" si="33"/>
        <v>0</v>
      </c>
      <c r="W54" s="89">
        <f t="shared" si="33"/>
        <v>0</v>
      </c>
      <c r="X54" s="89">
        <f t="shared" si="33"/>
        <v>0</v>
      </c>
      <c r="Y54" s="89">
        <f t="shared" si="33"/>
        <v>0</v>
      </c>
      <c r="Z54" s="89">
        <f t="shared" si="33"/>
        <v>0</v>
      </c>
      <c r="AA54" s="89">
        <f t="shared" si="33"/>
        <v>0</v>
      </c>
      <c r="AB54" s="89">
        <f t="shared" si="33"/>
        <v>0</v>
      </c>
      <c r="AC54" s="89">
        <f t="shared" si="33"/>
        <v>0</v>
      </c>
      <c r="AD54" s="89">
        <f t="shared" si="33"/>
        <v>0</v>
      </c>
      <c r="AE54" s="89">
        <f t="shared" si="33"/>
        <v>0</v>
      </c>
      <c r="AF54" s="89">
        <f t="shared" si="33"/>
        <v>0</v>
      </c>
      <c r="AG54" s="89">
        <f t="shared" si="33"/>
        <v>0</v>
      </c>
      <c r="AH54" s="89">
        <f t="shared" si="33"/>
        <v>0</v>
      </c>
      <c r="AI54" s="89">
        <f t="shared" si="33"/>
        <v>0</v>
      </c>
      <c r="AJ54" s="89">
        <f t="shared" si="33"/>
        <v>0</v>
      </c>
      <c r="AK54" s="89">
        <f t="shared" si="33"/>
        <v>0</v>
      </c>
      <c r="AL54" s="89">
        <f t="shared" si="33"/>
        <v>0</v>
      </c>
      <c r="AM54" s="89">
        <f t="shared" si="33"/>
        <v>13410918.578640491</v>
      </c>
      <c r="AN54" s="89">
        <f t="shared" si="33"/>
        <v>17915221.282051284</v>
      </c>
      <c r="AO54" s="89">
        <f t="shared" si="33"/>
        <v>17860170.183609493</v>
      </c>
      <c r="AP54" s="89">
        <f t="shared" si="33"/>
        <v>19691587.79565262</v>
      </c>
      <c r="AQ54" s="89">
        <f t="shared" si="33"/>
        <v>19003382.247260377</v>
      </c>
      <c r="AR54" s="89">
        <f t="shared" si="33"/>
        <v>17349561.566820279</v>
      </c>
      <c r="AS54" s="89">
        <f t="shared" si="33"/>
        <v>17883829.615975425</v>
      </c>
      <c r="AT54" s="89">
        <f t="shared" si="33"/>
        <v>17456763.225806452</v>
      </c>
      <c r="AU54" s="89">
        <f t="shared" si="33"/>
        <v>17711294.838709675</v>
      </c>
      <c r="AV54" s="89">
        <f t="shared" si="33"/>
        <v>0</v>
      </c>
      <c r="AW54" s="89">
        <f t="shared" si="33"/>
        <v>0</v>
      </c>
      <c r="AX54" s="89">
        <f t="shared" si="33"/>
        <v>0</v>
      </c>
      <c r="AZ54" s="266"/>
    </row>
    <row r="55" spans="2:52" s="29" customFormat="1" x14ac:dyDescent="0.25">
      <c r="B55" s="266"/>
      <c r="G55" s="28" t="s">
        <v>21</v>
      </c>
      <c r="H55" s="41">
        <f t="shared" ref="H55:AX55" si="34">SUM(H49:H54)</f>
        <v>90466760.856097057</v>
      </c>
      <c r="I55" s="41">
        <f t="shared" si="34"/>
        <v>203105606.47555348</v>
      </c>
      <c r="J55" s="41">
        <f t="shared" si="34"/>
        <v>197386994.82049102</v>
      </c>
      <c r="K55" s="41">
        <f>SUM(K49:K54)</f>
        <v>329909262.70924103</v>
      </c>
      <c r="L55" s="41">
        <f t="shared" si="34"/>
        <v>7013512.2726869369</v>
      </c>
      <c r="M55" s="41">
        <f t="shared" si="34"/>
        <v>5866971.3144166917</v>
      </c>
      <c r="N55" s="41">
        <f t="shared" si="34"/>
        <v>6425815.9708657609</v>
      </c>
      <c r="O55" s="41">
        <f t="shared" si="34"/>
        <v>5998189.8835743414</v>
      </c>
      <c r="P55" s="41">
        <f t="shared" si="34"/>
        <v>6383473.2526070625</v>
      </c>
      <c r="Q55" s="41">
        <f t="shared" si="34"/>
        <v>6647593.2733477019</v>
      </c>
      <c r="R55" s="41">
        <f t="shared" si="34"/>
        <v>7301193.3591889972</v>
      </c>
      <c r="S55" s="41">
        <f t="shared" si="34"/>
        <v>7559374.7284857938</v>
      </c>
      <c r="T55" s="41">
        <f t="shared" si="34"/>
        <v>8052216.7239692509</v>
      </c>
      <c r="U55" s="41">
        <f t="shared" si="34"/>
        <v>8886380.0105797574</v>
      </c>
      <c r="V55" s="41">
        <f t="shared" si="34"/>
        <v>9129995.7215591893</v>
      </c>
      <c r="W55" s="41">
        <f t="shared" si="34"/>
        <v>11202044.344815565</v>
      </c>
      <c r="X55" s="41">
        <f t="shared" si="34"/>
        <v>13991272.451712148</v>
      </c>
      <c r="Y55" s="41">
        <f t="shared" si="34"/>
        <v>14735038.182758618</v>
      </c>
      <c r="Z55" s="41">
        <f t="shared" si="34"/>
        <v>17237619.310150169</v>
      </c>
      <c r="AA55" s="41">
        <f t="shared" si="34"/>
        <v>16960382.860720668</v>
      </c>
      <c r="AB55" s="41">
        <f t="shared" si="34"/>
        <v>18086043.532162204</v>
      </c>
      <c r="AC55" s="41">
        <f t="shared" si="34"/>
        <v>17788111.726349141</v>
      </c>
      <c r="AD55" s="41">
        <f t="shared" si="34"/>
        <v>18551899.051091913</v>
      </c>
      <c r="AE55" s="41">
        <f t="shared" si="34"/>
        <v>17381048.24031993</v>
      </c>
      <c r="AF55" s="41">
        <f t="shared" si="34"/>
        <v>16864869.467445031</v>
      </c>
      <c r="AG55" s="41">
        <f t="shared" si="34"/>
        <v>17098740.456804466</v>
      </c>
      <c r="AH55" s="41">
        <f t="shared" si="34"/>
        <v>16483949.693092285</v>
      </c>
      <c r="AI55" s="41">
        <f t="shared" si="34"/>
        <v>17926631.502946928</v>
      </c>
      <c r="AJ55" s="41">
        <f t="shared" si="34"/>
        <v>14330197.343136262</v>
      </c>
      <c r="AK55" s="41">
        <f t="shared" si="34"/>
        <v>10321304.146022037</v>
      </c>
      <c r="AL55" s="41">
        <f t="shared" si="34"/>
        <v>11239185.888432201</v>
      </c>
      <c r="AM55" s="41">
        <f t="shared" si="34"/>
        <v>13732657.150863595</v>
      </c>
      <c r="AN55" s="41">
        <f t="shared" si="34"/>
        <v>18172809.818202563</v>
      </c>
      <c r="AO55" s="41">
        <f t="shared" si="34"/>
        <v>18174957.183609493</v>
      </c>
      <c r="AP55" s="41">
        <f t="shared" si="34"/>
        <v>20092396.79565262</v>
      </c>
      <c r="AQ55" s="41">
        <f t="shared" si="34"/>
        <v>19391083.247260377</v>
      </c>
      <c r="AR55" s="41">
        <f t="shared" si="34"/>
        <v>17713389.566820279</v>
      </c>
      <c r="AS55" s="41">
        <f t="shared" si="34"/>
        <v>18269907.615975425</v>
      </c>
      <c r="AT55" s="41">
        <f t="shared" si="34"/>
        <v>17842489.225806452</v>
      </c>
      <c r="AU55" s="41">
        <f t="shared" si="34"/>
        <v>18106616.838709675</v>
      </c>
      <c r="AV55" s="41">
        <f t="shared" si="34"/>
        <v>0</v>
      </c>
      <c r="AW55" s="41">
        <f t="shared" si="34"/>
        <v>0</v>
      </c>
      <c r="AX55" s="41">
        <f t="shared" si="34"/>
        <v>0</v>
      </c>
      <c r="AZ55" s="266"/>
    </row>
    <row r="56" spans="2:52" s="29" customFormat="1" ht="15.75" thickBot="1" x14ac:dyDescent="0.3">
      <c r="B56" s="266"/>
      <c r="K56" s="72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Z56" s="266"/>
    </row>
    <row r="57" spans="2:52" s="29" customFormat="1" ht="15.75" thickBot="1" x14ac:dyDescent="0.3">
      <c r="B57" s="266"/>
      <c r="E57" s="28"/>
      <c r="G57" s="104"/>
      <c r="H57" s="106">
        <f>H10</f>
        <v>2017</v>
      </c>
      <c r="I57" s="106">
        <f t="shared" ref="I57:J57" si="35">I10</f>
        <v>2018</v>
      </c>
      <c r="J57" s="106">
        <f t="shared" si="35"/>
        <v>2019</v>
      </c>
      <c r="K57" s="308" t="str">
        <f>K10</f>
        <v>Study Period</v>
      </c>
      <c r="L57" s="105">
        <f>L11</f>
        <v>42736</v>
      </c>
      <c r="M57" s="32">
        <f t="shared" ref="M57:AU57" si="36">M11</f>
        <v>42767</v>
      </c>
      <c r="N57" s="32">
        <f t="shared" si="36"/>
        <v>42795</v>
      </c>
      <c r="O57" s="32">
        <f t="shared" si="36"/>
        <v>42826</v>
      </c>
      <c r="P57" s="32">
        <f t="shared" si="36"/>
        <v>42856</v>
      </c>
      <c r="Q57" s="32">
        <f t="shared" si="36"/>
        <v>42887</v>
      </c>
      <c r="R57" s="32">
        <f t="shared" si="36"/>
        <v>42917</v>
      </c>
      <c r="S57" s="32">
        <f t="shared" si="36"/>
        <v>42948</v>
      </c>
      <c r="T57" s="32">
        <f t="shared" si="36"/>
        <v>42979</v>
      </c>
      <c r="U57" s="32">
        <f t="shared" si="36"/>
        <v>43009</v>
      </c>
      <c r="V57" s="32">
        <f t="shared" si="36"/>
        <v>43040</v>
      </c>
      <c r="W57" s="32">
        <f t="shared" si="36"/>
        <v>43070</v>
      </c>
      <c r="X57" s="32">
        <f t="shared" si="36"/>
        <v>43101</v>
      </c>
      <c r="Y57" s="32">
        <f t="shared" si="36"/>
        <v>43132</v>
      </c>
      <c r="Z57" s="32">
        <f t="shared" si="36"/>
        <v>43160</v>
      </c>
      <c r="AA57" s="32">
        <f t="shared" si="36"/>
        <v>43191</v>
      </c>
      <c r="AB57" s="32">
        <f t="shared" si="36"/>
        <v>43221</v>
      </c>
      <c r="AC57" s="32">
        <f t="shared" si="36"/>
        <v>43252</v>
      </c>
      <c r="AD57" s="32">
        <f t="shared" si="36"/>
        <v>43282</v>
      </c>
      <c r="AE57" s="32">
        <f t="shared" si="36"/>
        <v>43313</v>
      </c>
      <c r="AF57" s="32">
        <f t="shared" si="36"/>
        <v>43344</v>
      </c>
      <c r="AG57" s="32">
        <f t="shared" si="36"/>
        <v>43374</v>
      </c>
      <c r="AH57" s="32">
        <f t="shared" si="36"/>
        <v>43405</v>
      </c>
      <c r="AI57" s="32">
        <f t="shared" si="36"/>
        <v>43435</v>
      </c>
      <c r="AJ57" s="32">
        <f t="shared" si="36"/>
        <v>43466</v>
      </c>
      <c r="AK57" s="32">
        <f t="shared" si="36"/>
        <v>43497</v>
      </c>
      <c r="AL57" s="32">
        <f t="shared" si="36"/>
        <v>43525</v>
      </c>
      <c r="AM57" s="32">
        <f t="shared" si="36"/>
        <v>43556</v>
      </c>
      <c r="AN57" s="32">
        <f t="shared" si="36"/>
        <v>43586</v>
      </c>
      <c r="AO57" s="32">
        <f t="shared" si="36"/>
        <v>43617</v>
      </c>
      <c r="AP57" s="32">
        <f t="shared" si="36"/>
        <v>43647</v>
      </c>
      <c r="AQ57" s="32">
        <f t="shared" si="36"/>
        <v>43678</v>
      </c>
      <c r="AR57" s="32">
        <f t="shared" si="36"/>
        <v>43709</v>
      </c>
      <c r="AS57" s="32">
        <f t="shared" si="36"/>
        <v>43739</v>
      </c>
      <c r="AT57" s="32">
        <f t="shared" si="36"/>
        <v>43770</v>
      </c>
      <c r="AU57" s="32">
        <f t="shared" si="36"/>
        <v>43800</v>
      </c>
      <c r="AV57" s="32">
        <f t="shared" ref="AV57:AX57" si="37">AV11</f>
        <v>0</v>
      </c>
      <c r="AW57" s="32">
        <f t="shared" si="37"/>
        <v>0</v>
      </c>
      <c r="AX57" s="33">
        <f t="shared" si="37"/>
        <v>0</v>
      </c>
      <c r="AZ57" s="266"/>
    </row>
    <row r="58" spans="2:52" s="29" customFormat="1" ht="15.75" thickBot="1" x14ac:dyDescent="0.3">
      <c r="B58" s="266"/>
      <c r="G58" s="42" t="s">
        <v>22</v>
      </c>
      <c r="H58" s="299">
        <f>IF(H$46=0,0,IF(End_Date&gt;DATE(H$57,12,31),8760,IF(End_Date&lt;DATE(H$57,12,31),_xlfn.DAYS(DATE(H$57,12,31),End_Date)*24,8760)))</f>
        <v>8760</v>
      </c>
      <c r="I58" s="299">
        <f>IF(I$46=0,0,IF(End_Date&gt;DATE(I$57,12,31),8760,IF(End_Date&lt;DATE(I$57,12,31),_xlfn.DAYS(DATE(I$57,12,31),End_Date)*24,8760)))</f>
        <v>8760</v>
      </c>
      <c r="J58" s="299">
        <f>IF(J$46=0,0,IF(End_Date&gt;DATE(J$57,12,31),8760,IF(End_Date&lt;DATE(J$57,12,31),_xlfn.DAYS(DATE(J$57,12,31),End_Date)*24,8760)))</f>
        <v>8760</v>
      </c>
      <c r="K58" s="91">
        <f>SUM(H58:J58)</f>
        <v>26280</v>
      </c>
      <c r="L58" s="312">
        <f t="shared" ref="L58:U58" si="38">(DATE(YEAR(L48),MONTH(L48)+1,1)-L48)*24</f>
        <v>744</v>
      </c>
      <c r="M58" s="43">
        <f t="shared" si="38"/>
        <v>672</v>
      </c>
      <c r="N58" s="43">
        <f t="shared" si="38"/>
        <v>744</v>
      </c>
      <c r="O58" s="43">
        <f t="shared" si="38"/>
        <v>720</v>
      </c>
      <c r="P58" s="43">
        <f t="shared" si="38"/>
        <v>744</v>
      </c>
      <c r="Q58" s="43">
        <f t="shared" si="38"/>
        <v>720</v>
      </c>
      <c r="R58" s="43">
        <f t="shared" si="38"/>
        <v>744</v>
      </c>
      <c r="S58" s="43">
        <f t="shared" si="38"/>
        <v>744</v>
      </c>
      <c r="T58" s="43">
        <f t="shared" si="38"/>
        <v>720</v>
      </c>
      <c r="U58" s="43">
        <f t="shared" si="38"/>
        <v>744</v>
      </c>
      <c r="V58" s="43">
        <f>(DATE(YEAR(V48),MONTH(V48)+1,1)-V48)*24</f>
        <v>720</v>
      </c>
      <c r="W58" s="43">
        <f t="shared" ref="W58:AU58" si="39">(DATE(YEAR(W48),MONTH(W48)+1,1)-W48)*24</f>
        <v>744</v>
      </c>
      <c r="X58" s="43">
        <f t="shared" si="39"/>
        <v>744</v>
      </c>
      <c r="Y58" s="43">
        <f t="shared" si="39"/>
        <v>672</v>
      </c>
      <c r="Z58" s="43">
        <f t="shared" si="39"/>
        <v>744</v>
      </c>
      <c r="AA58" s="43">
        <f t="shared" si="39"/>
        <v>720</v>
      </c>
      <c r="AB58" s="43">
        <f t="shared" si="39"/>
        <v>744</v>
      </c>
      <c r="AC58" s="43">
        <f t="shared" si="39"/>
        <v>720</v>
      </c>
      <c r="AD58" s="43">
        <f t="shared" si="39"/>
        <v>744</v>
      </c>
      <c r="AE58" s="43">
        <f t="shared" si="39"/>
        <v>744</v>
      </c>
      <c r="AF58" s="43">
        <f t="shared" si="39"/>
        <v>720</v>
      </c>
      <c r="AG58" s="43">
        <f t="shared" si="39"/>
        <v>744</v>
      </c>
      <c r="AH58" s="43">
        <f t="shared" si="39"/>
        <v>720</v>
      </c>
      <c r="AI58" s="43">
        <f t="shared" si="39"/>
        <v>744</v>
      </c>
      <c r="AJ58" s="43">
        <f t="shared" si="39"/>
        <v>744</v>
      </c>
      <c r="AK58" s="43">
        <f t="shared" si="39"/>
        <v>672</v>
      </c>
      <c r="AL58" s="43">
        <f t="shared" si="39"/>
        <v>744</v>
      </c>
      <c r="AM58" s="43">
        <f t="shared" si="39"/>
        <v>720</v>
      </c>
      <c r="AN58" s="43">
        <f t="shared" si="39"/>
        <v>744</v>
      </c>
      <c r="AO58" s="43">
        <f t="shared" si="39"/>
        <v>720</v>
      </c>
      <c r="AP58" s="43">
        <f t="shared" si="39"/>
        <v>744</v>
      </c>
      <c r="AQ58" s="43">
        <f t="shared" si="39"/>
        <v>744</v>
      </c>
      <c r="AR58" s="43">
        <f t="shared" si="39"/>
        <v>720</v>
      </c>
      <c r="AS58" s="43">
        <f t="shared" si="39"/>
        <v>744</v>
      </c>
      <c r="AT58" s="43">
        <f t="shared" si="39"/>
        <v>720</v>
      </c>
      <c r="AU58" s="43">
        <f t="shared" si="39"/>
        <v>744</v>
      </c>
      <c r="AV58" s="43">
        <f t="shared" ref="AV58:AX58" si="40">(DATE(YEAR(AV48),MONTH(AV48)+1,1)-AV48)*24</f>
        <v>768</v>
      </c>
      <c r="AW58" s="43">
        <f t="shared" si="40"/>
        <v>768</v>
      </c>
      <c r="AX58" s="44">
        <f t="shared" si="40"/>
        <v>768</v>
      </c>
      <c r="AZ58" s="266"/>
    </row>
    <row r="59" spans="2:52" s="29" customFormat="1" x14ac:dyDescent="0.25">
      <c r="B59" s="266"/>
      <c r="G59" s="34" t="s">
        <v>23</v>
      </c>
      <c r="H59" s="45">
        <f t="shared" ref="H59:H64" si="41">IF(H$58=0,0,H49/H$58/1000)</f>
        <v>3.2232905052056893E-2</v>
      </c>
      <c r="I59" s="45">
        <f>IF(I$58=0,0,I49/I$58/1000)</f>
        <v>6.1550824408369779E-2</v>
      </c>
      <c r="J59" s="45">
        <f>IF(J$58=0,0,J49/J$58/1000)</f>
        <v>2.0284969138501023E-2</v>
      </c>
      <c r="K59" s="45">
        <f>K49/K$58/1000</f>
        <v>3.8022899532975898E-2</v>
      </c>
      <c r="L59" s="313">
        <f t="shared" ref="L59:AL59" si="42">L49/L$58/1000</f>
        <v>3.0002044866629139E-2</v>
      </c>
      <c r="M59" s="92">
        <f t="shared" si="42"/>
        <v>3.5446897230889861E-2</v>
      </c>
      <c r="N59" s="92">
        <f t="shared" si="42"/>
        <v>3.5696906613227608E-2</v>
      </c>
      <c r="O59" s="92">
        <f t="shared" si="42"/>
        <v>3.1495749907304409E-2</v>
      </c>
      <c r="P59" s="92">
        <f t="shared" si="42"/>
        <v>3.1657187287572615E-2</v>
      </c>
      <c r="Q59" s="92">
        <f t="shared" si="42"/>
        <v>6.7269733796296296E-3</v>
      </c>
      <c r="R59" s="92">
        <f t="shared" si="42"/>
        <v>3.1469311787078812E-2</v>
      </c>
      <c r="S59" s="92">
        <f t="shared" si="42"/>
        <v>3.3169716652243282E-2</v>
      </c>
      <c r="T59" s="92">
        <f t="shared" si="42"/>
        <v>3.2686843504547855E-2</v>
      </c>
      <c r="U59" s="92">
        <f t="shared" si="42"/>
        <v>3.3264813244283209E-2</v>
      </c>
      <c r="V59" s="92">
        <f t="shared" si="42"/>
        <v>3.9323242391485026E-2</v>
      </c>
      <c r="W59" s="92">
        <f t="shared" si="42"/>
        <v>4.5563017808540822E-2</v>
      </c>
      <c r="X59" s="92">
        <f t="shared" si="42"/>
        <v>4.4673085495321591E-2</v>
      </c>
      <c r="Y59" s="92">
        <f t="shared" si="42"/>
        <v>4.5742286278735632E-2</v>
      </c>
      <c r="Z59" s="92">
        <f t="shared" si="42"/>
        <v>4.9102761394081824E-2</v>
      </c>
      <c r="AA59" s="92">
        <f t="shared" si="42"/>
        <v>5.1706863593292955E-2</v>
      </c>
      <c r="AB59" s="92">
        <f t="shared" si="42"/>
        <v>5.5221881869769222E-2</v>
      </c>
      <c r="AC59" s="92">
        <f t="shared" si="42"/>
        <v>6.2289458598077545E-2</v>
      </c>
      <c r="AD59" s="92">
        <f t="shared" si="42"/>
        <v>7.3314702345621971E-2</v>
      </c>
      <c r="AE59" s="92">
        <f t="shared" si="42"/>
        <v>7.1460892565179582E-2</v>
      </c>
      <c r="AF59" s="92">
        <f t="shared" si="42"/>
        <v>6.7463527669312601E-2</v>
      </c>
      <c r="AG59" s="92">
        <f t="shared" si="42"/>
        <v>6.4952892498731526E-2</v>
      </c>
      <c r="AH59" s="92">
        <f t="shared" si="42"/>
        <v>7.2570440486038529E-2</v>
      </c>
      <c r="AI59" s="92">
        <f t="shared" si="42"/>
        <v>7.8833725213511147E-2</v>
      </c>
      <c r="AJ59" s="92">
        <f t="shared" si="42"/>
        <v>8.3594899886206844E-2</v>
      </c>
      <c r="AK59" s="92">
        <f t="shared" si="42"/>
        <v>8.5419501685546295E-2</v>
      </c>
      <c r="AL59" s="92">
        <f t="shared" si="42"/>
        <v>7.8091154576940755E-2</v>
      </c>
      <c r="AM59" s="93">
        <f t="shared" ref="M59:AU64" si="43">AM49/AM$58/1000</f>
        <v>0</v>
      </c>
      <c r="AN59" s="93">
        <f t="shared" si="43"/>
        <v>0</v>
      </c>
      <c r="AO59" s="93">
        <f t="shared" si="43"/>
        <v>0</v>
      </c>
      <c r="AP59" s="93">
        <f t="shared" si="43"/>
        <v>0</v>
      </c>
      <c r="AQ59" s="93">
        <f t="shared" si="43"/>
        <v>0</v>
      </c>
      <c r="AR59" s="93">
        <f t="shared" si="43"/>
        <v>0</v>
      </c>
      <c r="AS59" s="93">
        <f t="shared" si="43"/>
        <v>0</v>
      </c>
      <c r="AT59" s="93">
        <f t="shared" si="43"/>
        <v>0</v>
      </c>
      <c r="AU59" s="93">
        <f t="shared" si="43"/>
        <v>0</v>
      </c>
      <c r="AV59" s="92">
        <f>AV49/AV$58/1000</f>
        <v>0</v>
      </c>
      <c r="AW59" s="93">
        <f t="shared" ref="AW59:AX59" si="44">AW49/AW$58/1000</f>
        <v>0</v>
      </c>
      <c r="AX59" s="94">
        <f t="shared" si="44"/>
        <v>0</v>
      </c>
      <c r="AZ59" s="266"/>
    </row>
    <row r="60" spans="2:52" s="29" customFormat="1" x14ac:dyDescent="0.25">
      <c r="B60" s="266"/>
      <c r="E60" s="28"/>
      <c r="G60" s="37" t="s">
        <v>24</v>
      </c>
      <c r="H60" s="47">
        <f t="shared" si="41"/>
        <v>9.7370594308405028E-2</v>
      </c>
      <c r="I60" s="47">
        <f t="shared" ref="I60:J60" si="45">IF(I$58=0,0,I50/I$58/1000)</f>
        <v>0.44021384337858815</v>
      </c>
      <c r="J60" s="48">
        <f t="shared" si="45"/>
        <v>0.12255334754973511</v>
      </c>
      <c r="K60" s="47">
        <f t="shared" ref="K60:K64" si="46">K50/K$58/1000</f>
        <v>0.22004592841224271</v>
      </c>
      <c r="L60" s="314">
        <f t="shared" ref="L60:AL60" si="47">L50/L$58/1000</f>
        <v>0.17153776362063347</v>
      </c>
      <c r="M60" s="95">
        <f t="shared" si="47"/>
        <v>0.14429796036099915</v>
      </c>
      <c r="N60" s="95">
        <f t="shared" si="47"/>
        <v>0.11024661942000649</v>
      </c>
      <c r="O60" s="95">
        <f t="shared" si="47"/>
        <v>8.6506338833271537E-2</v>
      </c>
      <c r="P60" s="95">
        <f t="shared" si="47"/>
        <v>7.9202334932083035E-2</v>
      </c>
      <c r="Q60" s="95">
        <f t="shared" si="47"/>
        <v>7.3681895254629634E-2</v>
      </c>
      <c r="R60" s="95">
        <f t="shared" si="47"/>
        <v>7.0707485477068302E-2</v>
      </c>
      <c r="S60" s="95">
        <f t="shared" si="47"/>
        <v>6.8817248505906606E-2</v>
      </c>
      <c r="T60" s="95">
        <f t="shared" si="47"/>
        <v>6.9947169175785695E-2</v>
      </c>
      <c r="U60" s="95">
        <f t="shared" si="47"/>
        <v>7.1918644525225298E-2</v>
      </c>
      <c r="V60" s="95">
        <f t="shared" si="47"/>
        <v>8.0572406648713582E-2</v>
      </c>
      <c r="W60" s="95">
        <f t="shared" si="47"/>
        <v>0.14301150787674904</v>
      </c>
      <c r="X60" s="95">
        <f t="shared" si="47"/>
        <v>0.25789558499094289</v>
      </c>
      <c r="Y60" s="95">
        <f t="shared" si="47"/>
        <v>0.28366171703954568</v>
      </c>
      <c r="Z60" s="95">
        <f t="shared" si="47"/>
        <v>0.28108545710885452</v>
      </c>
      <c r="AA60" s="95">
        <f t="shared" si="47"/>
        <v>0.3709549702156904</v>
      </c>
      <c r="AB60" s="95">
        <f t="shared" si="47"/>
        <v>0.52123546441667379</v>
      </c>
      <c r="AC60" s="95">
        <f t="shared" si="47"/>
        <v>0.51340610084905414</v>
      </c>
      <c r="AD60" s="95">
        <f t="shared" si="47"/>
        <v>0.5076662198340649</v>
      </c>
      <c r="AE60" s="95">
        <f t="shared" si="47"/>
        <v>0.51299792311917791</v>
      </c>
      <c r="AF60" s="95">
        <f t="shared" si="47"/>
        <v>0.514861587155789</v>
      </c>
      <c r="AG60" s="95">
        <f t="shared" si="47"/>
        <v>0.50639605916981123</v>
      </c>
      <c r="AH60" s="95">
        <f t="shared" si="47"/>
        <v>0.50028017799805857</v>
      </c>
      <c r="AI60" s="95">
        <f t="shared" si="47"/>
        <v>0.50144715166756004</v>
      </c>
      <c r="AJ60" s="95">
        <f t="shared" si="47"/>
        <v>0.50711938781677335</v>
      </c>
      <c r="AK60" s="95">
        <f t="shared" si="47"/>
        <v>0.50292352253401362</v>
      </c>
      <c r="AL60" s="95">
        <f t="shared" si="47"/>
        <v>0.48159394201228878</v>
      </c>
      <c r="AM60" s="96">
        <f t="shared" si="43"/>
        <v>0</v>
      </c>
      <c r="AN60" s="96">
        <f t="shared" si="43"/>
        <v>0</v>
      </c>
      <c r="AO60" s="96">
        <f t="shared" si="43"/>
        <v>0</v>
      </c>
      <c r="AP60" s="96">
        <f t="shared" si="43"/>
        <v>0</v>
      </c>
      <c r="AQ60" s="96">
        <f t="shared" si="43"/>
        <v>0</v>
      </c>
      <c r="AR60" s="96">
        <f t="shared" si="43"/>
        <v>0</v>
      </c>
      <c r="AS60" s="96">
        <f t="shared" si="43"/>
        <v>0</v>
      </c>
      <c r="AT60" s="96">
        <f t="shared" si="43"/>
        <v>0</v>
      </c>
      <c r="AU60" s="96">
        <f t="shared" si="43"/>
        <v>0</v>
      </c>
      <c r="AV60" s="95">
        <f>AV50/AV$58/1000</f>
        <v>0</v>
      </c>
      <c r="AW60" s="96">
        <f t="shared" ref="AW60:AX60" si="48">AW50/AW$58/1000</f>
        <v>0</v>
      </c>
      <c r="AX60" s="97">
        <f t="shared" si="48"/>
        <v>0</v>
      </c>
      <c r="AZ60" s="266"/>
    </row>
    <row r="61" spans="2:52" s="29" customFormat="1" ht="15.75" thickBot="1" x14ac:dyDescent="0.3">
      <c r="B61" s="266"/>
      <c r="E61" s="28"/>
      <c r="G61" s="39" t="s">
        <v>25</v>
      </c>
      <c r="H61" s="49">
        <f t="shared" si="41"/>
        <v>10.197652306130069</v>
      </c>
      <c r="I61" s="49">
        <f t="shared" ref="I61:J61" si="49">IF(I$58=0,0,I51/I$58/1000)</f>
        <v>22.683806847687183</v>
      </c>
      <c r="J61" s="50">
        <f t="shared" si="49"/>
        <v>3.9542721145435555</v>
      </c>
      <c r="K61" s="49">
        <f t="shared" si="46"/>
        <v>12.278577089453604</v>
      </c>
      <c r="L61" s="315">
        <f t="shared" ref="L61:AL61" si="50">L51/L$58/1000</f>
        <v>9.2252239988876514</v>
      </c>
      <c r="M61" s="98">
        <f t="shared" si="50"/>
        <v>8.5508672174329501</v>
      </c>
      <c r="N61" s="98">
        <f t="shared" si="50"/>
        <v>8.4909058971734339</v>
      </c>
      <c r="O61" s="98">
        <f t="shared" si="50"/>
        <v>8.2128171940015662</v>
      </c>
      <c r="P61" s="98">
        <f t="shared" si="50"/>
        <v>8.4690776452629546</v>
      </c>
      <c r="Q61" s="98">
        <f t="shared" si="50"/>
        <v>9.1523595665708815</v>
      </c>
      <c r="R61" s="98">
        <f t="shared" si="50"/>
        <v>9.7112551371296671</v>
      </c>
      <c r="S61" s="98">
        <f t="shared" si="50"/>
        <v>10.058462938720606</v>
      </c>
      <c r="T61" s="98">
        <f t="shared" si="50"/>
        <v>11.081000326165848</v>
      </c>
      <c r="U61" s="98">
        <f t="shared" si="50"/>
        <v>11.838875696235542</v>
      </c>
      <c r="V61" s="98">
        <f t="shared" si="50"/>
        <v>12.560653964236453</v>
      </c>
      <c r="W61" s="98">
        <f t="shared" si="50"/>
        <v>14.867936690464663</v>
      </c>
      <c r="X61" s="98">
        <f t="shared" si="50"/>
        <v>18.50290505493329</v>
      </c>
      <c r="Y61" s="98">
        <f t="shared" si="50"/>
        <v>21.597736149596329</v>
      </c>
      <c r="Z61" s="98">
        <f t="shared" si="50"/>
        <v>22.838654940301051</v>
      </c>
      <c r="AA61" s="98">
        <f t="shared" si="50"/>
        <v>23.133425472747497</v>
      </c>
      <c r="AB61" s="98">
        <f t="shared" si="50"/>
        <v>23.732740949630497</v>
      </c>
      <c r="AC61" s="98">
        <f t="shared" si="50"/>
        <v>24.130015171593346</v>
      </c>
      <c r="AD61" s="98">
        <f t="shared" si="50"/>
        <v>24.35436726477181</v>
      </c>
      <c r="AE61" s="98">
        <f t="shared" si="50"/>
        <v>22.77716516324028</v>
      </c>
      <c r="AF61" s="98">
        <f t="shared" si="50"/>
        <v>22.841104701070773</v>
      </c>
      <c r="AG61" s="98">
        <f t="shared" si="50"/>
        <v>22.410829081670794</v>
      </c>
      <c r="AH61" s="98">
        <f t="shared" si="50"/>
        <v>22.321523955255188</v>
      </c>
      <c r="AI61" s="98">
        <f t="shared" si="50"/>
        <v>23.514653938907809</v>
      </c>
      <c r="AJ61" s="98">
        <f t="shared" si="50"/>
        <v>18.670303646619953</v>
      </c>
      <c r="AK61" s="98">
        <f t="shared" si="50"/>
        <v>14.770740526408471</v>
      </c>
      <c r="AL61" s="98">
        <f t="shared" si="50"/>
        <v>14.546747549152975</v>
      </c>
      <c r="AM61" s="99">
        <f t="shared" si="43"/>
        <v>0</v>
      </c>
      <c r="AN61" s="99">
        <f t="shared" si="43"/>
        <v>0</v>
      </c>
      <c r="AO61" s="99">
        <f t="shared" si="43"/>
        <v>0</v>
      </c>
      <c r="AP61" s="99">
        <f t="shared" si="43"/>
        <v>0</v>
      </c>
      <c r="AQ61" s="99">
        <f t="shared" si="43"/>
        <v>0</v>
      </c>
      <c r="AR61" s="99">
        <f t="shared" si="43"/>
        <v>0</v>
      </c>
      <c r="AS61" s="99">
        <f t="shared" si="43"/>
        <v>0</v>
      </c>
      <c r="AT61" s="99">
        <f t="shared" si="43"/>
        <v>0</v>
      </c>
      <c r="AU61" s="99">
        <f t="shared" si="43"/>
        <v>0</v>
      </c>
      <c r="AV61" s="98">
        <f>AV51/AV$58/1000</f>
        <v>0</v>
      </c>
      <c r="AW61" s="99">
        <f t="shared" ref="AW61:AX61" si="51">AW51/AW$58/1000</f>
        <v>0</v>
      </c>
      <c r="AX61" s="100">
        <f t="shared" si="51"/>
        <v>0</v>
      </c>
      <c r="AZ61" s="266"/>
    </row>
    <row r="62" spans="2:52" s="29" customFormat="1" x14ac:dyDescent="0.25">
      <c r="B62" s="266"/>
      <c r="E62" s="196"/>
      <c r="F62" s="70"/>
      <c r="G62" s="34" t="s">
        <v>26</v>
      </c>
      <c r="H62" s="45">
        <f t="shared" si="41"/>
        <v>0</v>
      </c>
      <c r="I62" s="45">
        <f t="shared" ref="I62:J62" si="52">IF(I$58=0,0,I52/I$58/1000)</f>
        <v>0</v>
      </c>
      <c r="J62" s="46">
        <f t="shared" si="52"/>
        <v>5.0936986301369863E-2</v>
      </c>
      <c r="K62" s="45">
        <f t="shared" si="46"/>
        <v>1.6978995433789956E-2</v>
      </c>
      <c r="L62" s="313">
        <f t="shared" ref="L62:L64" si="53">L52/L$58/1000</f>
        <v>0</v>
      </c>
      <c r="M62" s="92">
        <f t="shared" si="43"/>
        <v>0</v>
      </c>
      <c r="N62" s="92">
        <f t="shared" si="43"/>
        <v>0</v>
      </c>
      <c r="O62" s="92">
        <f t="shared" si="43"/>
        <v>0</v>
      </c>
      <c r="P62" s="92">
        <f t="shared" si="43"/>
        <v>0</v>
      </c>
      <c r="Q62" s="92">
        <f t="shared" si="43"/>
        <v>0</v>
      </c>
      <c r="R62" s="92">
        <f t="shared" si="43"/>
        <v>0</v>
      </c>
      <c r="S62" s="92">
        <f t="shared" si="43"/>
        <v>0</v>
      </c>
      <c r="T62" s="92">
        <f t="shared" si="43"/>
        <v>0</v>
      </c>
      <c r="U62" s="92">
        <f t="shared" si="43"/>
        <v>0</v>
      </c>
      <c r="V62" s="92">
        <f t="shared" si="43"/>
        <v>0</v>
      </c>
      <c r="W62" s="92">
        <f t="shared" si="43"/>
        <v>0</v>
      </c>
      <c r="X62" s="92">
        <f t="shared" si="43"/>
        <v>0</v>
      </c>
      <c r="Y62" s="92">
        <f t="shared" si="43"/>
        <v>0</v>
      </c>
      <c r="Z62" s="92">
        <f t="shared" si="43"/>
        <v>0</v>
      </c>
      <c r="AA62" s="92">
        <f t="shared" si="43"/>
        <v>0</v>
      </c>
      <c r="AB62" s="92">
        <f t="shared" si="43"/>
        <v>0</v>
      </c>
      <c r="AC62" s="92">
        <f t="shared" si="43"/>
        <v>0</v>
      </c>
      <c r="AD62" s="92">
        <f t="shared" si="43"/>
        <v>0</v>
      </c>
      <c r="AE62" s="92">
        <f t="shared" si="43"/>
        <v>0</v>
      </c>
      <c r="AF62" s="92">
        <f t="shared" si="43"/>
        <v>0</v>
      </c>
      <c r="AG62" s="92">
        <f t="shared" si="43"/>
        <v>0</v>
      </c>
      <c r="AH62" s="92">
        <f t="shared" si="43"/>
        <v>0</v>
      </c>
      <c r="AI62" s="92">
        <f t="shared" si="43"/>
        <v>0</v>
      </c>
      <c r="AJ62" s="93">
        <f t="shared" si="43"/>
        <v>0</v>
      </c>
      <c r="AK62" s="93">
        <f t="shared" si="43"/>
        <v>0</v>
      </c>
      <c r="AL62" s="93">
        <f t="shared" si="43"/>
        <v>0</v>
      </c>
      <c r="AM62" s="92">
        <f t="shared" ref="AM62:AU62" si="54">AM52/AM$58/1000</f>
        <v>8.0348611111111107E-2</v>
      </c>
      <c r="AN62" s="92">
        <f t="shared" si="54"/>
        <v>6.6555107526881721E-2</v>
      </c>
      <c r="AO62" s="92">
        <f t="shared" si="54"/>
        <v>6.165972222222222E-2</v>
      </c>
      <c r="AP62" s="92">
        <f t="shared" si="54"/>
        <v>5.9134408602150537E-2</v>
      </c>
      <c r="AQ62" s="92">
        <f t="shared" si="54"/>
        <v>6.7663978494623647E-2</v>
      </c>
      <c r="AR62" s="92">
        <f t="shared" si="54"/>
        <v>6.4361111111111119E-2</v>
      </c>
      <c r="AS62" s="92">
        <f t="shared" si="54"/>
        <v>6.3635752688172037E-2</v>
      </c>
      <c r="AT62" s="92">
        <f t="shared" si="54"/>
        <v>7.2226388888888896E-2</v>
      </c>
      <c r="AU62" s="92">
        <f t="shared" si="54"/>
        <v>7.3143817204301076E-2</v>
      </c>
      <c r="AV62" s="93">
        <f t="shared" ref="AV62" si="55">AV52/AV$58/1000</f>
        <v>0</v>
      </c>
      <c r="AW62" s="92">
        <f t="shared" ref="AW62:AX64" si="56">AW52/AW$58/1000</f>
        <v>0</v>
      </c>
      <c r="AX62" s="101">
        <f t="shared" si="56"/>
        <v>0</v>
      </c>
      <c r="AZ62" s="266"/>
    </row>
    <row r="63" spans="2:52" s="29" customFormat="1" x14ac:dyDescent="0.25">
      <c r="B63" s="266"/>
      <c r="E63" s="197"/>
      <c r="F63" s="70"/>
      <c r="G63" s="37" t="s">
        <v>27</v>
      </c>
      <c r="H63" s="47">
        <f t="shared" si="41"/>
        <v>0</v>
      </c>
      <c r="I63" s="47">
        <f t="shared" ref="I63:J63" si="57">IF(I$58=0,0,I53/I$58/1000)</f>
        <v>0</v>
      </c>
      <c r="J63" s="48">
        <f t="shared" si="57"/>
        <v>0.31590982972310322</v>
      </c>
      <c r="K63" s="47">
        <f t="shared" si="46"/>
        <v>0</v>
      </c>
      <c r="L63" s="314">
        <f t="shared" si="53"/>
        <v>0</v>
      </c>
      <c r="M63" s="95">
        <f t="shared" si="43"/>
        <v>0</v>
      </c>
      <c r="N63" s="95">
        <f t="shared" si="43"/>
        <v>0</v>
      </c>
      <c r="O63" s="95">
        <f t="shared" si="43"/>
        <v>0</v>
      </c>
      <c r="P63" s="95">
        <f t="shared" si="43"/>
        <v>0</v>
      </c>
      <c r="Q63" s="95">
        <f t="shared" si="43"/>
        <v>0</v>
      </c>
      <c r="R63" s="95">
        <f t="shared" si="43"/>
        <v>0</v>
      </c>
      <c r="S63" s="95">
        <f t="shared" si="43"/>
        <v>0</v>
      </c>
      <c r="T63" s="95">
        <f t="shared" si="43"/>
        <v>0</v>
      </c>
      <c r="U63" s="95">
        <f t="shared" si="43"/>
        <v>0</v>
      </c>
      <c r="V63" s="95">
        <f t="shared" si="43"/>
        <v>0</v>
      </c>
      <c r="W63" s="95">
        <f t="shared" si="43"/>
        <v>0</v>
      </c>
      <c r="X63" s="95">
        <f t="shared" si="43"/>
        <v>0</v>
      </c>
      <c r="Y63" s="95">
        <f t="shared" si="43"/>
        <v>0</v>
      </c>
      <c r="Z63" s="95">
        <f t="shared" si="43"/>
        <v>0</v>
      </c>
      <c r="AA63" s="95">
        <f t="shared" si="43"/>
        <v>0</v>
      </c>
      <c r="AB63" s="95">
        <f t="shared" si="43"/>
        <v>0</v>
      </c>
      <c r="AC63" s="95">
        <f t="shared" si="43"/>
        <v>0</v>
      </c>
      <c r="AD63" s="95">
        <f t="shared" si="43"/>
        <v>0</v>
      </c>
      <c r="AE63" s="95">
        <f t="shared" si="43"/>
        <v>0</v>
      </c>
      <c r="AF63" s="95">
        <f t="shared" si="43"/>
        <v>0</v>
      </c>
      <c r="AG63" s="95">
        <f t="shared" si="43"/>
        <v>0</v>
      </c>
      <c r="AH63" s="95">
        <f t="shared" si="43"/>
        <v>0</v>
      </c>
      <c r="AI63" s="95">
        <f t="shared" si="43"/>
        <v>0</v>
      </c>
      <c r="AJ63" s="96">
        <f t="shared" si="43"/>
        <v>0</v>
      </c>
      <c r="AK63" s="96">
        <f t="shared" si="43"/>
        <v>0</v>
      </c>
      <c r="AL63" s="96">
        <f t="shared" si="43"/>
        <v>0</v>
      </c>
      <c r="AM63" s="95">
        <f t="shared" si="43"/>
        <v>0.36651051697653475</v>
      </c>
      <c r="AN63" s="95">
        <f t="shared" si="43"/>
        <v>0.27966604321408495</v>
      </c>
      <c r="AO63" s="95">
        <f t="shared" si="43"/>
        <v>0.3755444444444444</v>
      </c>
      <c r="AP63" s="95">
        <f t="shared" si="43"/>
        <v>0.47958736559139781</v>
      </c>
      <c r="AQ63" s="95">
        <f t="shared" si="43"/>
        <v>0.45343951612903227</v>
      </c>
      <c r="AR63" s="95">
        <f t="shared" si="43"/>
        <v>0.4409555555555556</v>
      </c>
      <c r="AS63" s="95">
        <f t="shared" si="43"/>
        <v>0.45528629032258067</v>
      </c>
      <c r="AT63" s="95">
        <f t="shared" si="43"/>
        <v>0.46350416666666666</v>
      </c>
      <c r="AU63" s="95">
        <f t="shared" si="43"/>
        <v>0.45820295698924729</v>
      </c>
      <c r="AV63" s="96">
        <f t="shared" ref="AV63" si="58">AV53/AV$58/1000</f>
        <v>0</v>
      </c>
      <c r="AW63" s="95">
        <f t="shared" si="56"/>
        <v>0</v>
      </c>
      <c r="AX63" s="102">
        <f t="shared" si="56"/>
        <v>0</v>
      </c>
      <c r="AZ63" s="266"/>
    </row>
    <row r="64" spans="2:52" s="29" customFormat="1" ht="15.75" thickBot="1" x14ac:dyDescent="0.3">
      <c r="B64" s="266"/>
      <c r="E64" s="28"/>
      <c r="F64" s="70"/>
      <c r="G64" s="39" t="s">
        <v>28</v>
      </c>
      <c r="H64" s="49">
        <f t="shared" si="41"/>
        <v>0</v>
      </c>
      <c r="I64" s="49">
        <f t="shared" ref="H64:J65" si="59">IF(I$58=0,0,I54/I$58/1000)</f>
        <v>0</v>
      </c>
      <c r="J64" s="50">
        <f t="shared" si="59"/>
        <v>18.06880471855321</v>
      </c>
      <c r="K64" s="49">
        <f t="shared" si="46"/>
        <v>0</v>
      </c>
      <c r="L64" s="315">
        <f t="shared" si="53"/>
        <v>0</v>
      </c>
      <c r="M64" s="98">
        <f t="shared" si="43"/>
        <v>0</v>
      </c>
      <c r="N64" s="98">
        <f t="shared" si="43"/>
        <v>0</v>
      </c>
      <c r="O64" s="98">
        <f t="shared" si="43"/>
        <v>0</v>
      </c>
      <c r="P64" s="98">
        <f t="shared" si="43"/>
        <v>0</v>
      </c>
      <c r="Q64" s="98">
        <f t="shared" si="43"/>
        <v>0</v>
      </c>
      <c r="R64" s="98">
        <f t="shared" si="43"/>
        <v>0</v>
      </c>
      <c r="S64" s="98">
        <f t="shared" si="43"/>
        <v>0</v>
      </c>
      <c r="T64" s="98">
        <f t="shared" si="43"/>
        <v>0</v>
      </c>
      <c r="U64" s="98">
        <f t="shared" si="43"/>
        <v>0</v>
      </c>
      <c r="V64" s="98">
        <f t="shared" si="43"/>
        <v>0</v>
      </c>
      <c r="W64" s="98">
        <f t="shared" si="43"/>
        <v>0</v>
      </c>
      <c r="X64" s="98">
        <f t="shared" si="43"/>
        <v>0</v>
      </c>
      <c r="Y64" s="98">
        <f t="shared" si="43"/>
        <v>0</v>
      </c>
      <c r="Z64" s="98">
        <f t="shared" si="43"/>
        <v>0</v>
      </c>
      <c r="AA64" s="98">
        <f t="shared" si="43"/>
        <v>0</v>
      </c>
      <c r="AB64" s="98">
        <f t="shared" si="43"/>
        <v>0</v>
      </c>
      <c r="AC64" s="98">
        <f t="shared" si="43"/>
        <v>0</v>
      </c>
      <c r="AD64" s="98">
        <f t="shared" si="43"/>
        <v>0</v>
      </c>
      <c r="AE64" s="98">
        <f t="shared" si="43"/>
        <v>0</v>
      </c>
      <c r="AF64" s="98">
        <f t="shared" si="43"/>
        <v>0</v>
      </c>
      <c r="AG64" s="98">
        <f t="shared" si="43"/>
        <v>0</v>
      </c>
      <c r="AH64" s="98">
        <f t="shared" si="43"/>
        <v>0</v>
      </c>
      <c r="AI64" s="98">
        <f t="shared" si="43"/>
        <v>0</v>
      </c>
      <c r="AJ64" s="99">
        <f t="shared" si="43"/>
        <v>0</v>
      </c>
      <c r="AK64" s="99">
        <f t="shared" si="43"/>
        <v>0</v>
      </c>
      <c r="AL64" s="99">
        <f t="shared" si="43"/>
        <v>0</v>
      </c>
      <c r="AM64" s="98">
        <f t="shared" si="43"/>
        <v>18.626275803667347</v>
      </c>
      <c r="AN64" s="98">
        <f t="shared" si="43"/>
        <v>24.079598497380758</v>
      </c>
      <c r="AO64" s="98">
        <f t="shared" si="43"/>
        <v>24.805791921679852</v>
      </c>
      <c r="AP64" s="98">
        <f t="shared" si="43"/>
        <v>26.467187897382555</v>
      </c>
      <c r="AQ64" s="98">
        <f t="shared" si="43"/>
        <v>25.542180439866097</v>
      </c>
      <c r="AR64" s="98">
        <f t="shared" si="43"/>
        <v>24.096613287250388</v>
      </c>
      <c r="AS64" s="98">
        <f t="shared" si="43"/>
        <v>24.037405397816432</v>
      </c>
      <c r="AT64" s="98">
        <f t="shared" si="43"/>
        <v>24.245504480286737</v>
      </c>
      <c r="AU64" s="98">
        <f t="shared" si="43"/>
        <v>23.805503815469994</v>
      </c>
      <c r="AV64" s="99">
        <f t="shared" ref="AV64" si="60">AV54/AV$58/1000</f>
        <v>0</v>
      </c>
      <c r="AW64" s="98">
        <f t="shared" si="56"/>
        <v>0</v>
      </c>
      <c r="AX64" s="103">
        <f t="shared" si="56"/>
        <v>0</v>
      </c>
      <c r="AZ64" s="266"/>
    </row>
    <row r="65" spans="1:57" s="29" customFormat="1" x14ac:dyDescent="0.25">
      <c r="B65" s="266"/>
      <c r="E65" s="28"/>
      <c r="G65" s="28" t="s">
        <v>29</v>
      </c>
      <c r="H65" s="51">
        <f t="shared" si="59"/>
        <v>10.32725580549053</v>
      </c>
      <c r="I65" s="51">
        <f t="shared" si="59"/>
        <v>23.185571515474141</v>
      </c>
      <c r="J65" s="51">
        <f t="shared" si="59"/>
        <v>22.532761965809478</v>
      </c>
      <c r="K65" s="51">
        <f>K55/K58/1000</f>
        <v>12.553624912832611</v>
      </c>
      <c r="L65" s="51">
        <f t="shared" ref="L65:AX65" si="61">L55/L58/1000</f>
        <v>9.4267638073749147</v>
      </c>
      <c r="M65" s="51">
        <f t="shared" si="61"/>
        <v>8.7306120750248386</v>
      </c>
      <c r="N65" s="51">
        <f t="shared" si="61"/>
        <v>8.6368494232066677</v>
      </c>
      <c r="O65" s="51">
        <f t="shared" si="61"/>
        <v>8.3308192827421408</v>
      </c>
      <c r="P65" s="51">
        <f t="shared" si="61"/>
        <v>8.5799371674826101</v>
      </c>
      <c r="Q65" s="51">
        <f t="shared" si="61"/>
        <v>9.2327684352051413</v>
      </c>
      <c r="R65" s="51">
        <f t="shared" si="61"/>
        <v>9.8134319343938134</v>
      </c>
      <c r="S65" s="51">
        <f t="shared" si="61"/>
        <v>10.160449903878755</v>
      </c>
      <c r="T65" s="51">
        <f t="shared" si="61"/>
        <v>11.183634338846181</v>
      </c>
      <c r="U65" s="51">
        <f t="shared" si="61"/>
        <v>11.94405915400505</v>
      </c>
      <c r="V65" s="51">
        <f t="shared" si="61"/>
        <v>12.680549613276652</v>
      </c>
      <c r="W65" s="51">
        <f t="shared" si="61"/>
        <v>15.056511216149953</v>
      </c>
      <c r="X65" s="51">
        <f t="shared" si="61"/>
        <v>18.805473725419553</v>
      </c>
      <c r="Y65" s="51">
        <f t="shared" si="61"/>
        <v>21.92714015291461</v>
      </c>
      <c r="Z65" s="51">
        <f t="shared" si="61"/>
        <v>23.168843158803988</v>
      </c>
      <c r="AA65" s="51">
        <f t="shared" si="61"/>
        <v>23.556087306556485</v>
      </c>
      <c r="AB65" s="51">
        <f t="shared" si="61"/>
        <v>24.309198295916939</v>
      </c>
      <c r="AC65" s="51">
        <f t="shared" si="61"/>
        <v>24.705710731040476</v>
      </c>
      <c r="AD65" s="51">
        <f t="shared" si="61"/>
        <v>24.935348186951494</v>
      </c>
      <c r="AE65" s="51">
        <f t="shared" si="61"/>
        <v>23.361623978924637</v>
      </c>
      <c r="AF65" s="51">
        <f t="shared" si="61"/>
        <v>23.423429815895876</v>
      </c>
      <c r="AG65" s="51">
        <f t="shared" si="61"/>
        <v>22.982178033339338</v>
      </c>
      <c r="AH65" s="51">
        <f t="shared" si="61"/>
        <v>22.894374573739285</v>
      </c>
      <c r="AI65" s="51">
        <f t="shared" si="61"/>
        <v>24.094934815788882</v>
      </c>
      <c r="AJ65" s="51">
        <f t="shared" si="61"/>
        <v>19.261017934322933</v>
      </c>
      <c r="AK65" s="51">
        <f t="shared" si="61"/>
        <v>15.35908355062803</v>
      </c>
      <c r="AL65" s="51">
        <f t="shared" si="61"/>
        <v>15.106432645742204</v>
      </c>
      <c r="AM65" s="51">
        <f t="shared" si="61"/>
        <v>19.073134931754993</v>
      </c>
      <c r="AN65" s="51">
        <f t="shared" si="61"/>
        <v>24.425819648121724</v>
      </c>
      <c r="AO65" s="51">
        <f t="shared" si="61"/>
        <v>25.242996088346516</v>
      </c>
      <c r="AP65" s="51">
        <f t="shared" si="61"/>
        <v>27.005909671576106</v>
      </c>
      <c r="AQ65" s="51">
        <f t="shared" si="61"/>
        <v>26.063283934489753</v>
      </c>
      <c r="AR65" s="51">
        <f t="shared" si="61"/>
        <v>24.601929953917054</v>
      </c>
      <c r="AS65" s="51">
        <f t="shared" si="61"/>
        <v>24.556327440827182</v>
      </c>
      <c r="AT65" s="51">
        <f t="shared" si="61"/>
        <v>24.781235035842297</v>
      </c>
      <c r="AU65" s="51">
        <f t="shared" si="61"/>
        <v>24.336850589663541</v>
      </c>
      <c r="AV65" s="51">
        <f t="shared" si="61"/>
        <v>0</v>
      </c>
      <c r="AW65" s="51">
        <f t="shared" si="61"/>
        <v>0</v>
      </c>
      <c r="AX65" s="51">
        <f t="shared" si="61"/>
        <v>0</v>
      </c>
      <c r="AZ65" s="266"/>
    </row>
    <row r="66" spans="1:57" s="29" customFormat="1" x14ac:dyDescent="0.25">
      <c r="B66" s="266"/>
      <c r="E66" s="28"/>
      <c r="G66" s="28" t="s">
        <v>30</v>
      </c>
      <c r="H66" s="51">
        <f t="shared" ref="H66:K66" si="62">SUM(H59:H64)</f>
        <v>10.32725580549053</v>
      </c>
      <c r="I66" s="51">
        <f t="shared" si="62"/>
        <v>23.185571515474141</v>
      </c>
      <c r="J66" s="51">
        <f t="shared" si="62"/>
        <v>22.532761965809474</v>
      </c>
      <c r="K66" s="51">
        <f t="shared" si="62"/>
        <v>12.553624912832612</v>
      </c>
      <c r="L66" s="51">
        <f>SUM(L59:L64)</f>
        <v>9.4267638073749147</v>
      </c>
      <c r="M66" s="51">
        <f t="shared" ref="M66:AX66" si="63">SUM(M59:M64)</f>
        <v>8.7306120750248386</v>
      </c>
      <c r="N66" s="51">
        <f t="shared" si="63"/>
        <v>8.6368494232066677</v>
      </c>
      <c r="O66" s="51">
        <f t="shared" si="63"/>
        <v>8.3308192827421426</v>
      </c>
      <c r="P66" s="51">
        <f t="shared" si="63"/>
        <v>8.5799371674826101</v>
      </c>
      <c r="Q66" s="51">
        <f t="shared" si="63"/>
        <v>9.2327684352051413</v>
      </c>
      <c r="R66" s="51">
        <f t="shared" si="63"/>
        <v>9.8134319343938134</v>
      </c>
      <c r="S66" s="51">
        <f t="shared" si="63"/>
        <v>10.160449903878755</v>
      </c>
      <c r="T66" s="51">
        <f t="shared" si="63"/>
        <v>11.183634338846181</v>
      </c>
      <c r="U66" s="51">
        <f t="shared" si="63"/>
        <v>11.94405915400505</v>
      </c>
      <c r="V66" s="51">
        <f t="shared" si="63"/>
        <v>12.680549613276652</v>
      </c>
      <c r="W66" s="51">
        <f t="shared" si="63"/>
        <v>15.056511216149953</v>
      </c>
      <c r="X66" s="51">
        <f t="shared" si="63"/>
        <v>18.805473725419553</v>
      </c>
      <c r="Y66" s="51">
        <f t="shared" si="63"/>
        <v>21.92714015291461</v>
      </c>
      <c r="Z66" s="51">
        <f t="shared" si="63"/>
        <v>23.168843158803988</v>
      </c>
      <c r="AA66" s="51">
        <f t="shared" si="63"/>
        <v>23.556087306556481</v>
      </c>
      <c r="AB66" s="51">
        <f t="shared" si="63"/>
        <v>24.309198295916939</v>
      </c>
      <c r="AC66" s="51">
        <f t="shared" si="63"/>
        <v>24.705710731040476</v>
      </c>
      <c r="AD66" s="51">
        <f t="shared" si="63"/>
        <v>24.935348186951497</v>
      </c>
      <c r="AE66" s="51">
        <f t="shared" si="63"/>
        <v>23.361623978924637</v>
      </c>
      <c r="AF66" s="51">
        <f t="shared" si="63"/>
        <v>23.423429815895876</v>
      </c>
      <c r="AG66" s="51">
        <f t="shared" si="63"/>
        <v>22.982178033339338</v>
      </c>
      <c r="AH66" s="51">
        <f t="shared" si="63"/>
        <v>22.894374573739285</v>
      </c>
      <c r="AI66" s="51">
        <f t="shared" si="63"/>
        <v>24.094934815788882</v>
      </c>
      <c r="AJ66" s="51">
        <f t="shared" si="63"/>
        <v>19.261017934322933</v>
      </c>
      <c r="AK66" s="51">
        <f t="shared" si="63"/>
        <v>15.35908355062803</v>
      </c>
      <c r="AL66" s="51">
        <f t="shared" si="63"/>
        <v>15.106432645742204</v>
      </c>
      <c r="AM66" s="51">
        <f t="shared" si="63"/>
        <v>19.073134931754993</v>
      </c>
      <c r="AN66" s="51">
        <f t="shared" si="63"/>
        <v>24.425819648121724</v>
      </c>
      <c r="AO66" s="51">
        <f t="shared" si="63"/>
        <v>25.242996088346519</v>
      </c>
      <c r="AP66" s="51">
        <f t="shared" si="63"/>
        <v>27.005909671576102</v>
      </c>
      <c r="AQ66" s="51">
        <f t="shared" si="63"/>
        <v>26.063283934489753</v>
      </c>
      <c r="AR66" s="51">
        <f t="shared" si="63"/>
        <v>24.601929953917054</v>
      </c>
      <c r="AS66" s="51">
        <f t="shared" si="63"/>
        <v>24.556327440827186</v>
      </c>
      <c r="AT66" s="51">
        <f t="shared" si="63"/>
        <v>24.781235035842293</v>
      </c>
      <c r="AU66" s="51">
        <f t="shared" si="63"/>
        <v>24.336850589663541</v>
      </c>
      <c r="AV66" s="51">
        <f t="shared" si="63"/>
        <v>0</v>
      </c>
      <c r="AW66" s="51">
        <f t="shared" si="63"/>
        <v>0</v>
      </c>
      <c r="AX66" s="51">
        <f t="shared" si="63"/>
        <v>0</v>
      </c>
      <c r="AY66" s="51"/>
      <c r="AZ66" s="268"/>
      <c r="BA66" s="51"/>
      <c r="BB66" s="51"/>
    </row>
    <row r="67" spans="1:57" s="29" customFormat="1" x14ac:dyDescent="0.25">
      <c r="B67" s="266"/>
      <c r="G67" s="28"/>
      <c r="H67" s="51"/>
      <c r="I67" s="51"/>
      <c r="J67" s="51"/>
      <c r="K67" s="52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Z67" s="266"/>
    </row>
    <row r="68" spans="1:57" s="29" customFormat="1" x14ac:dyDescent="0.25">
      <c r="B68" s="266"/>
      <c r="C68" s="266"/>
      <c r="D68" s="266"/>
      <c r="E68" s="266"/>
      <c r="F68" s="266"/>
      <c r="G68" s="267"/>
      <c r="H68" s="268"/>
      <c r="I68" s="268"/>
      <c r="J68" s="268"/>
      <c r="K68" s="269"/>
      <c r="L68" s="268"/>
      <c r="M68" s="268"/>
      <c r="N68" s="268"/>
      <c r="O68" s="268"/>
      <c r="P68" s="268"/>
      <c r="Q68" s="268"/>
      <c r="R68" s="268"/>
      <c r="S68" s="268"/>
      <c r="T68" s="268"/>
      <c r="U68" s="268"/>
      <c r="V68" s="268"/>
      <c r="W68" s="268"/>
      <c r="X68" s="268"/>
      <c r="Y68" s="268"/>
      <c r="Z68" s="268"/>
      <c r="AA68" s="268"/>
      <c r="AB68" s="268"/>
      <c r="AC68" s="268"/>
      <c r="AD68" s="268"/>
      <c r="AE68" s="268"/>
      <c r="AF68" s="268"/>
      <c r="AG68" s="268"/>
      <c r="AH68" s="268"/>
      <c r="AI68" s="268"/>
      <c r="AJ68" s="268"/>
      <c r="AK68" s="268"/>
      <c r="AL68" s="268"/>
      <c r="AM68" s="268"/>
      <c r="AN68" s="268"/>
      <c r="AO68" s="268"/>
      <c r="AP68" s="268"/>
      <c r="AQ68" s="268"/>
      <c r="AR68" s="268"/>
      <c r="AS68" s="268"/>
      <c r="AT68" s="268"/>
      <c r="AU68" s="268"/>
      <c r="AV68" s="268"/>
      <c r="AW68" s="268"/>
      <c r="AX68" s="268"/>
      <c r="AY68" s="266"/>
      <c r="AZ68" s="266"/>
    </row>
    <row r="70" spans="1:57" s="452" customFormat="1" x14ac:dyDescent="0.25">
      <c r="A70" s="130"/>
      <c r="B70" s="271" t="s">
        <v>31</v>
      </c>
      <c r="C70" s="271"/>
      <c r="D70" s="271"/>
      <c r="E70" s="271"/>
      <c r="F70" s="271"/>
      <c r="G70" s="271"/>
      <c r="H70" s="271"/>
      <c r="I70" s="271"/>
      <c r="J70" s="271"/>
      <c r="K70" s="271"/>
      <c r="L70" s="271"/>
      <c r="M70" s="271"/>
      <c r="N70" s="271"/>
      <c r="O70" s="271"/>
      <c r="P70" s="271"/>
      <c r="Q70" s="271"/>
      <c r="R70" s="271"/>
      <c r="S70" s="271"/>
      <c r="T70" s="271"/>
      <c r="U70" s="271"/>
      <c r="V70" s="271"/>
      <c r="W70" s="271"/>
      <c r="X70" s="271"/>
      <c r="Y70" s="271"/>
      <c r="Z70" s="271"/>
      <c r="AA70" s="271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451"/>
      <c r="AZ70" s="451"/>
      <c r="BC70" s="453"/>
      <c r="BD70" s="453"/>
      <c r="BE70" s="454"/>
    </row>
    <row r="71" spans="1:57" s="137" customFormat="1" ht="15.75" thickBot="1" x14ac:dyDescent="0.3">
      <c r="B71" s="271"/>
      <c r="C71" s="272"/>
      <c r="D71" s="272"/>
      <c r="E71" s="272"/>
      <c r="F71" s="272"/>
      <c r="G71" s="272"/>
      <c r="H71" s="272"/>
      <c r="I71" s="272"/>
      <c r="J71" s="272"/>
      <c r="K71" s="272"/>
      <c r="L71" s="272"/>
      <c r="M71" s="272"/>
      <c r="N71" s="272"/>
      <c r="O71" s="272"/>
      <c r="P71" s="272"/>
      <c r="Q71" s="272"/>
      <c r="R71" s="272"/>
      <c r="S71" s="272"/>
      <c r="T71" s="272"/>
      <c r="U71" s="272"/>
      <c r="V71" s="272"/>
      <c r="W71" s="272"/>
      <c r="X71" s="272"/>
      <c r="Y71" s="272"/>
      <c r="Z71" s="272"/>
      <c r="AA71" s="272"/>
      <c r="AB71" s="272"/>
      <c r="AC71" s="272"/>
      <c r="AD71" s="272"/>
      <c r="AE71" s="272"/>
      <c r="AF71" s="272"/>
      <c r="AG71" s="272"/>
      <c r="AH71" s="272"/>
      <c r="AI71" s="272"/>
      <c r="AJ71" s="272"/>
      <c r="AK71" s="272"/>
      <c r="AL71" s="272"/>
      <c r="AM71" s="272"/>
      <c r="AN71" s="272"/>
      <c r="AO71" s="272"/>
      <c r="AP71" s="272"/>
      <c r="AQ71" s="272"/>
      <c r="AR71" s="272"/>
      <c r="AS71" s="272"/>
      <c r="AT71" s="272"/>
      <c r="AU71" s="450"/>
      <c r="AV71" s="272"/>
      <c r="AW71" s="272"/>
      <c r="AX71" s="450"/>
      <c r="AZ71" s="265"/>
      <c r="BC71" s="172"/>
      <c r="BD71" s="172"/>
      <c r="BE71" s="273"/>
    </row>
    <row r="72" spans="1:57" x14ac:dyDescent="0.25">
      <c r="B72" s="265"/>
      <c r="F72" s="177" t="s">
        <v>32</v>
      </c>
      <c r="G72" s="132" t="s">
        <v>37</v>
      </c>
      <c r="H72" s="131">
        <f t="shared" ref="H72:AX72" si="64">H10</f>
        <v>2017</v>
      </c>
      <c r="I72" s="132">
        <f t="shared" si="64"/>
        <v>2018</v>
      </c>
      <c r="J72" s="132">
        <f t="shared" si="64"/>
        <v>2019</v>
      </c>
      <c r="K72" s="132" t="str">
        <f>K10</f>
        <v>Study Period</v>
      </c>
      <c r="L72" s="178">
        <f t="shared" si="64"/>
        <v>2017</v>
      </c>
      <c r="M72" s="179">
        <f t="shared" si="64"/>
        <v>2017</v>
      </c>
      <c r="N72" s="179">
        <f t="shared" si="64"/>
        <v>2017</v>
      </c>
      <c r="O72" s="179">
        <f t="shared" si="64"/>
        <v>2017</v>
      </c>
      <c r="P72" s="179">
        <f t="shared" si="64"/>
        <v>2017</v>
      </c>
      <c r="Q72" s="179">
        <f t="shared" si="64"/>
        <v>2017</v>
      </c>
      <c r="R72" s="179">
        <f t="shared" si="64"/>
        <v>2017</v>
      </c>
      <c r="S72" s="179">
        <f t="shared" si="64"/>
        <v>2017</v>
      </c>
      <c r="T72" s="179">
        <f t="shared" si="64"/>
        <v>2017</v>
      </c>
      <c r="U72" s="179">
        <f t="shared" si="64"/>
        <v>2017</v>
      </c>
      <c r="V72" s="179">
        <f t="shared" si="64"/>
        <v>2017</v>
      </c>
      <c r="W72" s="180">
        <f t="shared" si="64"/>
        <v>2017</v>
      </c>
      <c r="X72" s="178">
        <f t="shared" si="64"/>
        <v>2018</v>
      </c>
      <c r="Y72" s="179">
        <f t="shared" si="64"/>
        <v>2018</v>
      </c>
      <c r="Z72" s="179">
        <f t="shared" si="64"/>
        <v>2018</v>
      </c>
      <c r="AA72" s="179">
        <f t="shared" si="64"/>
        <v>2018</v>
      </c>
      <c r="AB72" s="179">
        <f t="shared" si="64"/>
        <v>2018</v>
      </c>
      <c r="AC72" s="179">
        <f t="shared" si="64"/>
        <v>2018</v>
      </c>
      <c r="AD72" s="179">
        <f t="shared" si="64"/>
        <v>2018</v>
      </c>
      <c r="AE72" s="179">
        <f t="shared" si="64"/>
        <v>2018</v>
      </c>
      <c r="AF72" s="179">
        <f t="shared" si="64"/>
        <v>2018</v>
      </c>
      <c r="AG72" s="179">
        <f t="shared" si="64"/>
        <v>2018</v>
      </c>
      <c r="AH72" s="179">
        <f t="shared" si="64"/>
        <v>2018</v>
      </c>
      <c r="AI72" s="180">
        <f t="shared" si="64"/>
        <v>2018</v>
      </c>
      <c r="AJ72" s="178">
        <f t="shared" si="64"/>
        <v>2019</v>
      </c>
      <c r="AK72" s="179">
        <f t="shared" si="64"/>
        <v>2019</v>
      </c>
      <c r="AL72" s="179">
        <f t="shared" si="64"/>
        <v>2019</v>
      </c>
      <c r="AM72" s="179">
        <f t="shared" si="64"/>
        <v>2019</v>
      </c>
      <c r="AN72" s="179">
        <f t="shared" si="64"/>
        <v>2019</v>
      </c>
      <c r="AO72" s="179">
        <f t="shared" si="64"/>
        <v>2019</v>
      </c>
      <c r="AP72" s="179">
        <f t="shared" si="64"/>
        <v>2019</v>
      </c>
      <c r="AQ72" s="179">
        <f t="shared" si="64"/>
        <v>2019</v>
      </c>
      <c r="AR72" s="179">
        <f t="shared" si="64"/>
        <v>2019</v>
      </c>
      <c r="AS72" s="179">
        <f t="shared" si="64"/>
        <v>2019</v>
      </c>
      <c r="AT72" s="179">
        <f t="shared" si="64"/>
        <v>2019</v>
      </c>
      <c r="AU72" s="180">
        <f t="shared" si="64"/>
        <v>2019</v>
      </c>
      <c r="AV72" s="179">
        <f t="shared" si="64"/>
        <v>1900</v>
      </c>
      <c r="AW72" s="179">
        <f t="shared" si="64"/>
        <v>1900</v>
      </c>
      <c r="AX72" s="180">
        <f t="shared" si="64"/>
        <v>1900</v>
      </c>
      <c r="AZ72" s="265"/>
    </row>
    <row r="73" spans="1:57" ht="15.75" thickBot="1" x14ac:dyDescent="0.3">
      <c r="B73" s="265"/>
      <c r="F73" s="181">
        <f>$I$4-$I$3</f>
        <v>1095</v>
      </c>
      <c r="G73" s="141"/>
      <c r="H73" s="140" t="str">
        <f>H11</f>
        <v xml:space="preserve"> </v>
      </c>
      <c r="I73" s="141" t="str">
        <f>I11</f>
        <v xml:space="preserve"> </v>
      </c>
      <c r="J73" s="141" t="str">
        <f>J11</f>
        <v xml:space="preserve"> </v>
      </c>
      <c r="K73" s="141" t="s">
        <v>33</v>
      </c>
      <c r="L73" s="182">
        <f t="shared" ref="L73:AX73" si="65">L11</f>
        <v>42736</v>
      </c>
      <c r="M73" s="183">
        <f t="shared" si="65"/>
        <v>42767</v>
      </c>
      <c r="N73" s="183">
        <f t="shared" si="65"/>
        <v>42795</v>
      </c>
      <c r="O73" s="183">
        <f t="shared" si="65"/>
        <v>42826</v>
      </c>
      <c r="P73" s="183">
        <f t="shared" si="65"/>
        <v>42856</v>
      </c>
      <c r="Q73" s="183">
        <f t="shared" si="65"/>
        <v>42887</v>
      </c>
      <c r="R73" s="183">
        <f t="shared" si="65"/>
        <v>42917</v>
      </c>
      <c r="S73" s="183">
        <f t="shared" si="65"/>
        <v>42948</v>
      </c>
      <c r="T73" s="183">
        <f t="shared" si="65"/>
        <v>42979</v>
      </c>
      <c r="U73" s="183">
        <f t="shared" si="65"/>
        <v>43009</v>
      </c>
      <c r="V73" s="183">
        <f t="shared" si="65"/>
        <v>43040</v>
      </c>
      <c r="W73" s="184">
        <f t="shared" si="65"/>
        <v>43070</v>
      </c>
      <c r="X73" s="182">
        <f t="shared" si="65"/>
        <v>43101</v>
      </c>
      <c r="Y73" s="183">
        <f t="shared" si="65"/>
        <v>43132</v>
      </c>
      <c r="Z73" s="183">
        <f t="shared" si="65"/>
        <v>43160</v>
      </c>
      <c r="AA73" s="183">
        <f t="shared" si="65"/>
        <v>43191</v>
      </c>
      <c r="AB73" s="183">
        <f t="shared" si="65"/>
        <v>43221</v>
      </c>
      <c r="AC73" s="183">
        <f t="shared" si="65"/>
        <v>43252</v>
      </c>
      <c r="AD73" s="183">
        <f t="shared" si="65"/>
        <v>43282</v>
      </c>
      <c r="AE73" s="183">
        <f t="shared" si="65"/>
        <v>43313</v>
      </c>
      <c r="AF73" s="183">
        <f t="shared" si="65"/>
        <v>43344</v>
      </c>
      <c r="AG73" s="183">
        <f t="shared" si="65"/>
        <v>43374</v>
      </c>
      <c r="AH73" s="183">
        <f t="shared" si="65"/>
        <v>43405</v>
      </c>
      <c r="AI73" s="184">
        <f t="shared" si="65"/>
        <v>43435</v>
      </c>
      <c r="AJ73" s="182">
        <f t="shared" si="65"/>
        <v>43466</v>
      </c>
      <c r="AK73" s="183">
        <f t="shared" si="65"/>
        <v>43497</v>
      </c>
      <c r="AL73" s="183">
        <f t="shared" si="65"/>
        <v>43525</v>
      </c>
      <c r="AM73" s="183">
        <f t="shared" si="65"/>
        <v>43556</v>
      </c>
      <c r="AN73" s="183">
        <f t="shared" si="65"/>
        <v>43586</v>
      </c>
      <c r="AO73" s="183">
        <f t="shared" si="65"/>
        <v>43617</v>
      </c>
      <c r="AP73" s="183">
        <f t="shared" si="65"/>
        <v>43647</v>
      </c>
      <c r="AQ73" s="183">
        <f t="shared" si="65"/>
        <v>43678</v>
      </c>
      <c r="AR73" s="183">
        <f t="shared" si="65"/>
        <v>43709</v>
      </c>
      <c r="AS73" s="183">
        <f t="shared" si="65"/>
        <v>43739</v>
      </c>
      <c r="AT73" s="183">
        <f t="shared" si="65"/>
        <v>43770</v>
      </c>
      <c r="AU73" s="184">
        <f t="shared" si="65"/>
        <v>43800</v>
      </c>
      <c r="AV73" s="183">
        <f t="shared" si="65"/>
        <v>0</v>
      </c>
      <c r="AW73" s="183">
        <f t="shared" si="65"/>
        <v>0</v>
      </c>
      <c r="AX73" s="184">
        <f t="shared" si="65"/>
        <v>0</v>
      </c>
      <c r="AZ73" s="265"/>
    </row>
    <row r="74" spans="1:57" x14ac:dyDescent="0.25">
      <c r="B74" s="265"/>
      <c r="F74" s="274"/>
      <c r="G74" s="466" t="s">
        <v>40</v>
      </c>
      <c r="H74" s="466" t="s">
        <v>41</v>
      </c>
      <c r="I74" s="466" t="s">
        <v>41</v>
      </c>
      <c r="J74" s="466" t="s">
        <v>41</v>
      </c>
      <c r="K74" s="466" t="s">
        <v>41</v>
      </c>
      <c r="L74" s="275" t="s">
        <v>41</v>
      </c>
      <c r="M74" s="275" t="s">
        <v>41</v>
      </c>
      <c r="N74" s="275" t="s">
        <v>41</v>
      </c>
      <c r="O74" s="275" t="s">
        <v>41</v>
      </c>
      <c r="P74" s="275" t="s">
        <v>41</v>
      </c>
      <c r="Q74" s="275" t="s">
        <v>41</v>
      </c>
      <c r="R74" s="275" t="s">
        <v>41</v>
      </c>
      <c r="S74" s="275" t="s">
        <v>41</v>
      </c>
      <c r="T74" s="275" t="s">
        <v>41</v>
      </c>
      <c r="U74" s="275" t="s">
        <v>41</v>
      </c>
      <c r="V74" s="275" t="s">
        <v>41</v>
      </c>
      <c r="W74" s="275" t="s">
        <v>41</v>
      </c>
      <c r="X74" s="275" t="s">
        <v>41</v>
      </c>
      <c r="Y74" s="275" t="s">
        <v>41</v>
      </c>
      <c r="Z74" s="275" t="s">
        <v>41</v>
      </c>
      <c r="AA74" s="275" t="s">
        <v>41</v>
      </c>
      <c r="AB74" s="275" t="s">
        <v>41</v>
      </c>
      <c r="AC74" s="275" t="s">
        <v>41</v>
      </c>
      <c r="AD74" s="275" t="s">
        <v>41</v>
      </c>
      <c r="AE74" s="275" t="s">
        <v>41</v>
      </c>
      <c r="AF74" s="275" t="s">
        <v>41</v>
      </c>
      <c r="AG74" s="275" t="s">
        <v>41</v>
      </c>
      <c r="AH74" s="275" t="s">
        <v>41</v>
      </c>
      <c r="AI74" s="275" t="s">
        <v>41</v>
      </c>
      <c r="AJ74" s="275" t="s">
        <v>41</v>
      </c>
      <c r="AK74" s="275" t="s">
        <v>41</v>
      </c>
      <c r="AL74" s="275" t="s">
        <v>41</v>
      </c>
      <c r="AM74" s="275" t="s">
        <v>41</v>
      </c>
      <c r="AN74" s="275" t="s">
        <v>41</v>
      </c>
      <c r="AO74" s="275" t="s">
        <v>41</v>
      </c>
      <c r="AP74" s="275" t="s">
        <v>41</v>
      </c>
      <c r="AQ74" s="275" t="s">
        <v>41</v>
      </c>
      <c r="AR74" s="275" t="s">
        <v>41</v>
      </c>
      <c r="AS74" s="275" t="s">
        <v>41</v>
      </c>
      <c r="AT74" s="275" t="s">
        <v>41</v>
      </c>
      <c r="AU74" s="275" t="s">
        <v>41</v>
      </c>
      <c r="AV74" s="275" t="s">
        <v>41</v>
      </c>
      <c r="AW74" s="275" t="s">
        <v>41</v>
      </c>
      <c r="AX74" s="275" t="s">
        <v>41</v>
      </c>
      <c r="AZ74" s="265"/>
    </row>
    <row r="75" spans="1:57" x14ac:dyDescent="0.25">
      <c r="B75" s="265"/>
      <c r="F75" s="185" t="s">
        <v>34</v>
      </c>
      <c r="G75" s="317"/>
      <c r="H75" s="186"/>
      <c r="I75" s="186"/>
      <c r="J75" s="186"/>
      <c r="K75" s="186"/>
      <c r="L75" s="186"/>
      <c r="M75" s="186"/>
      <c r="N75" s="186"/>
      <c r="O75" s="186"/>
      <c r="P75" s="186"/>
      <c r="Q75" s="186"/>
      <c r="R75" s="186"/>
      <c r="S75" s="186"/>
      <c r="T75" s="186"/>
      <c r="U75" s="186"/>
      <c r="V75" s="186"/>
      <c r="W75" s="186"/>
      <c r="X75" s="186"/>
      <c r="Y75" s="186"/>
      <c r="Z75" s="186"/>
      <c r="AA75" s="186"/>
      <c r="AB75" s="186"/>
      <c r="AC75" s="186"/>
      <c r="AD75" s="186"/>
      <c r="AE75" s="186"/>
      <c r="AF75" s="186"/>
      <c r="AG75" s="186"/>
      <c r="AH75" s="186"/>
      <c r="AI75" s="186"/>
      <c r="AJ75" s="186"/>
      <c r="AK75" s="186"/>
      <c r="AL75" s="186"/>
      <c r="AM75" s="186"/>
      <c r="AN75" s="186"/>
      <c r="AO75" s="186"/>
      <c r="AP75" s="186"/>
      <c r="AQ75" s="186"/>
      <c r="AR75" s="186"/>
      <c r="AS75" s="186"/>
      <c r="AT75" s="186"/>
      <c r="AU75" s="186"/>
      <c r="AV75" s="186"/>
      <c r="AW75" s="186"/>
      <c r="AX75" s="187"/>
      <c r="AZ75" s="265"/>
    </row>
    <row r="76" spans="1:57" x14ac:dyDescent="0.25">
      <c r="B76" s="265"/>
      <c r="F76" s="188" t="s">
        <v>35</v>
      </c>
      <c r="G76" s="318"/>
      <c r="H76" s="189">
        <f>COUNTIF(H$12:H$45,"&gt;0")</f>
        <v>27</v>
      </c>
      <c r="I76" s="189">
        <f>COUNTIF(I$12:I$45,"&gt;0")</f>
        <v>33</v>
      </c>
      <c r="J76" s="189">
        <f t="shared" ref="J76:AX76" si="66">COUNTIF(J$12:J$45,"&gt;0")</f>
        <v>34</v>
      </c>
      <c r="K76" s="189">
        <f>AVERAGEIF(L76:AX76,"&gt;0")</f>
        <v>29.138888888888889</v>
      </c>
      <c r="L76" s="189">
        <f t="shared" ref="L76:W76" si="67">COUNTIF(L$12:L$45,"&gt;0")</f>
        <v>22</v>
      </c>
      <c r="M76" s="189">
        <f t="shared" si="67"/>
        <v>22</v>
      </c>
      <c r="N76" s="189">
        <f t="shared" si="67"/>
        <v>23</v>
      </c>
      <c r="O76" s="189">
        <f t="shared" si="67"/>
        <v>24</v>
      </c>
      <c r="P76" s="189">
        <f t="shared" si="67"/>
        <v>24</v>
      </c>
      <c r="Q76" s="189">
        <f t="shared" si="67"/>
        <v>23</v>
      </c>
      <c r="R76" s="189">
        <f t="shared" si="67"/>
        <v>24</v>
      </c>
      <c r="S76" s="189">
        <f t="shared" si="67"/>
        <v>24</v>
      </c>
      <c r="T76" s="189">
        <f t="shared" si="67"/>
        <v>24</v>
      </c>
      <c r="U76" s="189">
        <f t="shared" si="67"/>
        <v>24</v>
      </c>
      <c r="V76" s="189">
        <f t="shared" si="67"/>
        <v>25</v>
      </c>
      <c r="W76" s="189">
        <f t="shared" si="67"/>
        <v>27</v>
      </c>
      <c r="X76" s="189">
        <f t="shared" si="66"/>
        <v>30</v>
      </c>
      <c r="Y76" s="189">
        <f t="shared" si="66"/>
        <v>31</v>
      </c>
      <c r="Z76" s="189">
        <f t="shared" si="66"/>
        <v>31</v>
      </c>
      <c r="AA76" s="189">
        <f t="shared" si="66"/>
        <v>32</v>
      </c>
      <c r="AB76" s="189">
        <f t="shared" si="66"/>
        <v>32</v>
      </c>
      <c r="AC76" s="189">
        <f t="shared" si="66"/>
        <v>32</v>
      </c>
      <c r="AD76" s="189">
        <f t="shared" si="66"/>
        <v>33</v>
      </c>
      <c r="AE76" s="189">
        <f t="shared" si="66"/>
        <v>33</v>
      </c>
      <c r="AF76" s="189">
        <f t="shared" si="66"/>
        <v>33</v>
      </c>
      <c r="AG76" s="189">
        <f t="shared" si="66"/>
        <v>31</v>
      </c>
      <c r="AH76" s="189">
        <f t="shared" si="66"/>
        <v>33</v>
      </c>
      <c r="AI76" s="189">
        <f t="shared" si="66"/>
        <v>33</v>
      </c>
      <c r="AJ76" s="189">
        <f t="shared" si="66"/>
        <v>32</v>
      </c>
      <c r="AK76" s="189">
        <f t="shared" si="66"/>
        <v>28</v>
      </c>
      <c r="AL76" s="189">
        <f t="shared" si="66"/>
        <v>30</v>
      </c>
      <c r="AM76" s="189">
        <f t="shared" si="66"/>
        <v>33</v>
      </c>
      <c r="AN76" s="189">
        <f t="shared" si="66"/>
        <v>31</v>
      </c>
      <c r="AO76" s="189">
        <f t="shared" si="66"/>
        <v>30</v>
      </c>
      <c r="AP76" s="189">
        <f t="shared" si="66"/>
        <v>32</v>
      </c>
      <c r="AQ76" s="189">
        <f t="shared" si="66"/>
        <v>33</v>
      </c>
      <c r="AR76" s="189">
        <f t="shared" si="66"/>
        <v>31</v>
      </c>
      <c r="AS76" s="189">
        <f t="shared" si="66"/>
        <v>33</v>
      </c>
      <c r="AT76" s="189">
        <f t="shared" si="66"/>
        <v>33</v>
      </c>
      <c r="AU76" s="189">
        <f t="shared" si="66"/>
        <v>33</v>
      </c>
      <c r="AV76" s="189">
        <f t="shared" si="66"/>
        <v>0</v>
      </c>
      <c r="AW76" s="189">
        <f t="shared" si="66"/>
        <v>0</v>
      </c>
      <c r="AX76" s="190">
        <f t="shared" si="66"/>
        <v>0</v>
      </c>
      <c r="AZ76" s="265"/>
    </row>
    <row r="77" spans="1:57" x14ac:dyDescent="0.25">
      <c r="B77" s="265"/>
      <c r="F77" s="188" t="s">
        <v>36</v>
      </c>
      <c r="G77" s="319">
        <f>J77/8760</f>
        <v>3077.4060980998679</v>
      </c>
      <c r="H77" s="191">
        <f>_xlfn.MAXIFS(H$12:H$45,H$12:H$45,"&gt;0")</f>
        <v>27798250</v>
      </c>
      <c r="I77" s="191">
        <f>_xlfn.MAXIFS(I$12:I$45,I$12:I$45,"&gt;0")</f>
        <v>30519322.580645166</v>
      </c>
      <c r="J77" s="191">
        <f t="shared" ref="J77:AX77" si="68">_xlfn.MAXIFS(J$12:J$45,J$12:J$45,"&gt;0")</f>
        <v>26958077.419354841</v>
      </c>
      <c r="K77" s="191">
        <f>(_xlfn.MAXIFS(K$12:K$45,K$12:K$45,"&gt;0")/F73)*365</f>
        <v>28425216.666666664</v>
      </c>
      <c r="L77" s="191">
        <f t="shared" ref="L77:W77" si="69">_xlfn.MAXIFS(L$12:L$45,L$12:L$45,"&gt;0")</f>
        <v>2598146.5517241377</v>
      </c>
      <c r="M77" s="191">
        <f t="shared" si="69"/>
        <v>2059603.448275862</v>
      </c>
      <c r="N77" s="191">
        <f t="shared" si="69"/>
        <v>1911706.8965517241</v>
      </c>
      <c r="O77" s="191">
        <f t="shared" si="69"/>
        <v>1802664.0711902115</v>
      </c>
      <c r="P77" s="191">
        <f t="shared" si="69"/>
        <v>1990362.365591398</v>
      </c>
      <c r="Q77" s="191">
        <f t="shared" si="69"/>
        <v>2032933.3333333333</v>
      </c>
      <c r="R77" s="191">
        <f t="shared" si="69"/>
        <v>2244833.333333333</v>
      </c>
      <c r="S77" s="191">
        <f t="shared" si="69"/>
        <v>2331600</v>
      </c>
      <c r="T77" s="191">
        <f t="shared" si="69"/>
        <v>2522537.931034483</v>
      </c>
      <c r="U77" s="191">
        <f t="shared" si="69"/>
        <v>2791362.068965517</v>
      </c>
      <c r="V77" s="191">
        <f t="shared" si="69"/>
        <v>2703241.935483871</v>
      </c>
      <c r="W77" s="191">
        <f t="shared" si="69"/>
        <v>2809258.064516129</v>
      </c>
      <c r="X77" s="191">
        <f t="shared" si="68"/>
        <v>2815310.3448275863</v>
      </c>
      <c r="Y77" s="191">
        <f t="shared" si="68"/>
        <v>2509877.1551724141</v>
      </c>
      <c r="Z77" s="191">
        <f t="shared" si="68"/>
        <v>2725019.3965517245</v>
      </c>
      <c r="AA77" s="191">
        <f t="shared" si="68"/>
        <v>2616965.5172413792</v>
      </c>
      <c r="AB77" s="191">
        <f t="shared" si="68"/>
        <v>2724282.1316614421</v>
      </c>
      <c r="AC77" s="191">
        <f t="shared" si="68"/>
        <v>2578712.1212121211</v>
      </c>
      <c r="AD77" s="191">
        <f t="shared" si="68"/>
        <v>2515488.5057471264</v>
      </c>
      <c r="AE77" s="191">
        <f t="shared" si="68"/>
        <v>2455981.1912225708</v>
      </c>
      <c r="AF77" s="191">
        <f t="shared" si="68"/>
        <v>2457673.9811912226</v>
      </c>
      <c r="AG77" s="191">
        <f t="shared" si="68"/>
        <v>2491689.6551724137</v>
      </c>
      <c r="AH77" s="191">
        <f t="shared" si="68"/>
        <v>2264218.75</v>
      </c>
      <c r="AI77" s="191">
        <f t="shared" si="68"/>
        <v>2399733.4310850441</v>
      </c>
      <c r="AJ77" s="191">
        <f t="shared" si="68"/>
        <v>2316364.9193548383</v>
      </c>
      <c r="AK77" s="191">
        <f t="shared" si="68"/>
        <v>2062098.2142857143</v>
      </c>
      <c r="AL77" s="191">
        <f t="shared" si="68"/>
        <v>2408414.2857142859</v>
      </c>
      <c r="AM77" s="191">
        <f t="shared" si="68"/>
        <v>2385600</v>
      </c>
      <c r="AN77" s="191">
        <f t="shared" si="68"/>
        <v>2441600</v>
      </c>
      <c r="AO77" s="191">
        <f t="shared" si="68"/>
        <v>2364600</v>
      </c>
      <c r="AP77" s="191">
        <f t="shared" si="68"/>
        <v>2496900</v>
      </c>
      <c r="AQ77" s="191">
        <f t="shared" si="68"/>
        <v>2492700</v>
      </c>
      <c r="AR77" s="191">
        <f t="shared" si="68"/>
        <v>2394000</v>
      </c>
      <c r="AS77" s="191">
        <f t="shared" si="68"/>
        <v>2419200</v>
      </c>
      <c r="AT77" s="191">
        <f t="shared" si="68"/>
        <v>2259600</v>
      </c>
      <c r="AU77" s="191">
        <f t="shared" si="68"/>
        <v>2326800</v>
      </c>
      <c r="AV77" s="191">
        <f>_xlfn.MAXIFS(AV$12:AV$45,AV$12:AV$45,"&gt;0")</f>
        <v>0</v>
      </c>
      <c r="AW77" s="191">
        <f t="shared" si="68"/>
        <v>0</v>
      </c>
      <c r="AX77" s="192">
        <f t="shared" si="68"/>
        <v>0</v>
      </c>
      <c r="AZ77" s="265"/>
    </row>
    <row r="78" spans="1:57" x14ac:dyDescent="0.25">
      <c r="B78" s="265"/>
      <c r="E78" s="29"/>
      <c r="F78" s="188" t="s">
        <v>37</v>
      </c>
      <c r="G78" s="319">
        <f>J78/8760</f>
        <v>662.72829311204339</v>
      </c>
      <c r="H78" s="191">
        <f>IF(H46=0,0,AVERAGEIFS(H$12:H$45,H$12:H$45,"&gt;0"))</f>
        <v>3350620.7724480387</v>
      </c>
      <c r="I78" s="191">
        <f>IF(I46=0,0,AVERAGEIFS(I$12:I$45,I$12:I$45,"&gt;0"))</f>
        <v>6154715.3477440467</v>
      </c>
      <c r="J78" s="191">
        <f>IF(J46=0,0,AVERAGEIFS(J$12:J$45,J$12:J$45,"&gt;0"))</f>
        <v>5805499.8476614999</v>
      </c>
      <c r="K78" s="191">
        <f>IF(K46=0,0,AVERAGEIFS(K$12:K$45,K$12:K$45,"&gt;0"))/3</f>
        <v>4813327.0799229564</v>
      </c>
      <c r="L78" s="191">
        <f t="shared" ref="L78:AX78" si="70">IF(L46=0,0,AVERAGEIFS(L$12:L$45,L$12:L$45,"&gt;0"))</f>
        <v>318796.01239486074</v>
      </c>
      <c r="M78" s="191">
        <f t="shared" si="70"/>
        <v>266680.51429166785</v>
      </c>
      <c r="N78" s="191">
        <f t="shared" si="70"/>
        <v>279383.30308112002</v>
      </c>
      <c r="O78" s="191">
        <f t="shared" si="70"/>
        <v>249924.57848226427</v>
      </c>
      <c r="P78" s="191">
        <f t="shared" si="70"/>
        <v>265978.05219196097</v>
      </c>
      <c r="Q78" s="191">
        <f t="shared" si="70"/>
        <v>289025.79449337831</v>
      </c>
      <c r="R78" s="191">
        <f t="shared" si="70"/>
        <v>304216.3899662082</v>
      </c>
      <c r="S78" s="191">
        <f t="shared" si="70"/>
        <v>314973.94702024147</v>
      </c>
      <c r="T78" s="191">
        <f t="shared" si="70"/>
        <v>335509.03016538545</v>
      </c>
      <c r="U78" s="191">
        <f t="shared" si="70"/>
        <v>370265.83377415658</v>
      </c>
      <c r="V78" s="191">
        <f t="shared" si="70"/>
        <v>365199.82886236755</v>
      </c>
      <c r="W78" s="191">
        <f t="shared" si="70"/>
        <v>414890.53128946538</v>
      </c>
      <c r="X78" s="191">
        <f t="shared" si="70"/>
        <v>466375.74839040491</v>
      </c>
      <c r="Y78" s="191">
        <f t="shared" si="70"/>
        <v>475323.81234705227</v>
      </c>
      <c r="Z78" s="191">
        <f t="shared" si="70"/>
        <v>556052.2358112958</v>
      </c>
      <c r="AA78" s="191">
        <f t="shared" si="70"/>
        <v>530011.96439752087</v>
      </c>
      <c r="AB78" s="191">
        <f t="shared" si="70"/>
        <v>565188.86038006889</v>
      </c>
      <c r="AC78" s="191">
        <f t="shared" si="70"/>
        <v>555878.49144841067</v>
      </c>
      <c r="AD78" s="191">
        <f t="shared" si="70"/>
        <v>562178.75912399741</v>
      </c>
      <c r="AE78" s="191">
        <f t="shared" si="70"/>
        <v>526698.43152484635</v>
      </c>
      <c r="AF78" s="191">
        <f t="shared" si="70"/>
        <v>511056.65052863728</v>
      </c>
      <c r="AG78" s="191">
        <f t="shared" si="70"/>
        <v>551572.27280014404</v>
      </c>
      <c r="AH78" s="191">
        <f t="shared" si="70"/>
        <v>499513.6270634025</v>
      </c>
      <c r="AI78" s="191">
        <f t="shared" si="70"/>
        <v>543231.25766505848</v>
      </c>
      <c r="AJ78" s="191">
        <f t="shared" si="70"/>
        <v>447818.66697300819</v>
      </c>
      <c r="AK78" s="191">
        <f t="shared" si="70"/>
        <v>368618.00521507266</v>
      </c>
      <c r="AL78" s="191">
        <f t="shared" si="70"/>
        <v>374639.5296144067</v>
      </c>
      <c r="AM78" s="191">
        <f t="shared" si="70"/>
        <v>416141.12578374537</v>
      </c>
      <c r="AN78" s="191">
        <f t="shared" si="70"/>
        <v>586219.67155492143</v>
      </c>
      <c r="AO78" s="191">
        <f t="shared" si="70"/>
        <v>605831.90612031647</v>
      </c>
      <c r="AP78" s="191">
        <f t="shared" si="70"/>
        <v>627887.39986414439</v>
      </c>
      <c r="AQ78" s="191">
        <f t="shared" si="70"/>
        <v>587608.58325031458</v>
      </c>
      <c r="AR78" s="191">
        <f t="shared" si="70"/>
        <v>571399.66344581544</v>
      </c>
      <c r="AS78" s="191">
        <f t="shared" si="70"/>
        <v>553633.5641204674</v>
      </c>
      <c r="AT78" s="191">
        <f t="shared" si="70"/>
        <v>540681.4916911046</v>
      </c>
      <c r="AU78" s="191">
        <f t="shared" si="70"/>
        <v>548685.35874877812</v>
      </c>
      <c r="AV78" s="191">
        <f t="shared" si="70"/>
        <v>0</v>
      </c>
      <c r="AW78" s="191">
        <f t="shared" si="70"/>
        <v>0</v>
      </c>
      <c r="AX78" s="192">
        <f t="shared" si="70"/>
        <v>0</v>
      </c>
      <c r="AZ78" s="265"/>
    </row>
    <row r="79" spans="1:57" x14ac:dyDescent="0.25">
      <c r="B79" s="265"/>
      <c r="E79" s="29"/>
      <c r="F79" s="188" t="s">
        <v>38</v>
      </c>
      <c r="G79" s="319"/>
      <c r="H79" s="191">
        <f t="array" ref="H79">IF(H$46=0,0,MEDIAN(IF(H$12:H$45&gt;0,H$12:H$45)))</f>
        <v>1027063.8655462186</v>
      </c>
      <c r="I79" s="191">
        <f t="array" ref="I79">IF(I$46=0,0,MEDIAN(IF(I$12:I$45&gt;0,I$12:I$45)))</f>
        <v>3490360.3036053125</v>
      </c>
      <c r="J79" s="191">
        <f t="array" ref="J79">IF(J$46=0,0,MEDIAN(IF(J$12:J$45&gt;0,J$12:J$45)))</f>
        <v>3201834.3401759528</v>
      </c>
      <c r="K79" s="191">
        <f t="array" ref="K79">IF(K$46=0,0,MEDIAN(IF(K$12:K$45&gt;0,K$12:K$45)))/3</f>
        <v>2607234.7058823532</v>
      </c>
      <c r="L79" s="191">
        <f t="array" ref="L79">IF(L$46=0,0,MEDIAN(IF(L$12:L$45&gt;0,L$12:L$45)))</f>
        <v>93466.465517241391</v>
      </c>
      <c r="M79" s="191">
        <f t="array" ref="M79">IF(M$46=0,0,MEDIAN(IF(M$12:M$45&gt;0,M$12:M$45)))</f>
        <v>56121.034482758623</v>
      </c>
      <c r="N79" s="191">
        <f t="array" ref="N79">IF(N$46=0,0,MEDIAN(IF(N$12:N$45&gt;0,N$12:N$45)))</f>
        <v>41821.657262277949</v>
      </c>
      <c r="O79" s="191">
        <f t="array" ref="O79">IF(O$46=0,0,MEDIAN(IF(O$12:O$45&gt;0,O$12:O$45)))</f>
        <v>53524.362068965522</v>
      </c>
      <c r="P79" s="191">
        <f t="array" ref="P79">IF(P$46=0,0,MEDIAN(IF(P$12:P$45&gt;0,P$12:P$45)))</f>
        <v>95104.31609195401</v>
      </c>
      <c r="Q79" s="191">
        <f t="array" ref="Q79">IF(Q$46=0,0,MEDIAN(IF(Q$12:Q$45&gt;0,Q$12:Q$45)))</f>
        <v>122431</v>
      </c>
      <c r="R79" s="191">
        <f t="array" ref="R79">IF(R$46=0,0,MEDIAN(IF(R$12:R$45&gt;0,R$12:R$45)))</f>
        <v>91986.482758620696</v>
      </c>
      <c r="S79" s="191">
        <f t="array" ref="S79">IF(S$46=0,0,MEDIAN(IF(S$12:S$45&gt;0,S$12:S$45)))</f>
        <v>100902.5</v>
      </c>
      <c r="T79" s="191">
        <f t="array" ref="T79">IF(T$46=0,0,MEDIAN(IF(T$12:T$45&gt;0,T$12:T$45)))</f>
        <v>94294.741379310348</v>
      </c>
      <c r="U79" s="191">
        <f t="array" ref="U79">IF(U$46=0,0,MEDIAN(IF(U$12:U$45&gt;0,U$12:U$45)))</f>
        <v>124082.75862068965</v>
      </c>
      <c r="V79" s="191">
        <f t="array" ref="V79">IF(V$46=0,0,MEDIAN(IF(V$12:V$45&gt;0,V$12:V$45)))</f>
        <v>147672.72727272729</v>
      </c>
      <c r="W79" s="191">
        <f t="array" ref="W79">IF(W$46=0,0,MEDIAN(IF(W$12:W$45&gt;0,W$12:W$45)))</f>
        <v>154247.27272727274</v>
      </c>
      <c r="X79" s="191">
        <f t="array" ref="X79">IF(X$46=0,0,MEDIAN(IF(X$12:X$45&gt;0,X$12:X$45)))</f>
        <v>256993.46855983773</v>
      </c>
      <c r="Y79" s="191">
        <f t="array" ref="Y79">IF(Y$46=0,0,MEDIAN(IF(Y$12:Y$45&gt;0,Y$12:Y$45)))</f>
        <v>375591.72413793101</v>
      </c>
      <c r="Z79" s="191">
        <f t="array" ref="Z79">IF(Z$46=0,0,MEDIAN(IF(Z$12:Z$45&gt;0,Z$12:Z$45)))</f>
        <v>427801.29310344823</v>
      </c>
      <c r="AA79" s="191">
        <f t="array" ref="AA79">IF(AA$46=0,0,MEDIAN(IF(AA$12:AA$45&gt;0,AA$12:AA$45)))</f>
        <v>339748.96551724139</v>
      </c>
      <c r="AB79" s="191">
        <f t="array" ref="AB79">IF(AB$46=0,0,MEDIAN(IF(AB$12:AB$45&gt;0,AB$12:AB$45)))</f>
        <v>344679.77011494257</v>
      </c>
      <c r="AC79" s="191">
        <f t="array" ref="AC79">IF(AC$46=0,0,MEDIAN(IF(AC$12:AC$45&gt;0,AC$12:AC$45)))</f>
        <v>327646.66666666663</v>
      </c>
      <c r="AD79" s="191">
        <f t="array" ref="AD79">IF(AD$46=0,0,MEDIAN(IF(AD$12:AD$45&gt;0,AD$12:AD$45)))</f>
        <v>352024.13793103449</v>
      </c>
      <c r="AE79" s="191">
        <f t="array" ref="AE79">IF(AE$46=0,0,MEDIAN(IF(AE$12:AE$45&gt;0,AE$12:AE$45)))</f>
        <v>300970.86729362595</v>
      </c>
      <c r="AF79" s="191">
        <f t="array" ref="AF79">IF(AF$46=0,0,MEDIAN(IF(AF$12:AF$45&gt;0,AF$12:AF$45)))</f>
        <v>285864.99477533961</v>
      </c>
      <c r="AG79" s="191">
        <f t="array" ref="AG79">IF(AG$46=0,0,MEDIAN(IF(AG$12:AG$45&gt;0,AG$12:AG$45)))</f>
        <v>294965.16129032261</v>
      </c>
      <c r="AH79" s="191">
        <f t="array" ref="AH79">IF(AH$46=0,0,MEDIAN(IF(AH$12:AH$45&gt;0,AH$12:AH$45)))</f>
        <v>283516.32183908042</v>
      </c>
      <c r="AI79" s="191">
        <f t="array" ref="AI79">IF(AI$46=0,0,MEDIAN(IF(AI$12:AI$45&gt;0,AI$12:AI$45)))</f>
        <v>361590.30303030304</v>
      </c>
      <c r="AJ79" s="191">
        <f t="array" ref="AJ79">IF(AJ$46=0,0,MEDIAN(IF(AJ$12:AJ$45&gt;0,AJ$12:AJ$45)))</f>
        <v>289132.1144706239</v>
      </c>
      <c r="AK79" s="191">
        <f t="array" ref="AK79">IF(AK$46=0,0,MEDIAN(IF(AK$12:AK$45&gt;0,AK$12:AK$45)))</f>
        <v>217480.41379310345</v>
      </c>
      <c r="AL79" s="191">
        <f t="array" ref="AL79">IF(AL$46=0,0,MEDIAN(IF(AL$12:AL$45&gt;0,AL$12:AL$45)))</f>
        <v>229037.24137931032</v>
      </c>
      <c r="AM79" s="191">
        <f t="array" ref="AM79">IF(AM$46=0,0,MEDIAN(IF(AM$12:AM$45&gt;0,AM$12:AM$45)))</f>
        <v>294857.1428571429</v>
      </c>
      <c r="AN79" s="191">
        <f t="array" ref="AN79">IF(AN$46=0,0,MEDIAN(IF(AN$12:AN$45&gt;0,AN$12:AN$45)))</f>
        <v>324800</v>
      </c>
      <c r="AO79" s="191">
        <f t="array" ref="AO79">IF(AO$46=0,0,MEDIAN(IF(AO$12:AO$45&gt;0,AO$12:AO$45)))</f>
        <v>378680</v>
      </c>
      <c r="AP79" s="191">
        <f t="array" ref="AP79">IF(AP$46=0,0,MEDIAN(IF(AP$12:AP$45&gt;0,AP$12:AP$45)))</f>
        <v>364680</v>
      </c>
      <c r="AQ79" s="191">
        <f t="array" ref="AQ79">IF(AQ$46=0,0,MEDIAN(IF(AQ$12:AQ$45&gt;0,AQ$12:AQ$45)))</f>
        <v>373120</v>
      </c>
      <c r="AR79" s="191">
        <f t="array" ref="AR79">IF(AR$46=0,0,MEDIAN(IF(AR$12:AR$45&gt;0,AR$12:AR$45)))</f>
        <v>349400</v>
      </c>
      <c r="AS79" s="191">
        <f t="array" ref="AS79">IF(AS$46=0,0,MEDIAN(IF(AS$12:AS$45&gt;0,AS$12:AS$45)))</f>
        <v>376546.66666666663</v>
      </c>
      <c r="AT79" s="191">
        <f t="array" ref="AT79">IF(AT$46=0,0,MEDIAN(IF(AT$12:AT$45&gt;0,AT$12:AT$45)))</f>
        <v>364400</v>
      </c>
      <c r="AU79" s="191">
        <f t="array" ref="AU79">IF(AU$46=0,0,MEDIAN(IF(AU$12:AU$45&gt;0,AU$12:AU$45)))</f>
        <v>383680</v>
      </c>
      <c r="AV79" s="191">
        <f t="array" ref="AV79">IF(AV$46=0,0,MEDIAN(IF(AV$12:AV$45&gt;0,AV$12:AV$45)))</f>
        <v>0</v>
      </c>
      <c r="AW79" s="191">
        <f t="array" ref="AW79">IF(AW$46=0,0,MEDIAN(IF(AW$12:AW$45&gt;0,AW$12:AW$45)))</f>
        <v>0</v>
      </c>
      <c r="AX79" s="192">
        <f t="array" ref="AX79">IF(AX$46=0,0,MEDIAN(IF(AX$12:AX$45&gt;0,AX$12:AX$45)))</f>
        <v>0</v>
      </c>
      <c r="AZ79" s="265"/>
    </row>
    <row r="80" spans="1:57" x14ac:dyDescent="0.25">
      <c r="B80" s="265"/>
      <c r="E80" s="29"/>
      <c r="F80" s="193" t="s">
        <v>39</v>
      </c>
      <c r="G80" s="320"/>
      <c r="H80" s="194">
        <f>_xlfn.MINIFS(H$12:H$45,H$12:H$45,"&gt;0")</f>
        <v>6208</v>
      </c>
      <c r="I80" s="194">
        <f>_xlfn.MINIFS(I$12:I$45,I$12:I$45,"&gt;0")</f>
        <v>9680.0967741935456</v>
      </c>
      <c r="J80" s="194">
        <f t="shared" ref="J80:AX80" si="71">_xlfn.MINIFS(J$12:J$45,J$12:J$45,"&gt;0")</f>
        <v>50174.411764705881</v>
      </c>
      <c r="K80" s="194">
        <f>_xlfn.MINIFS(K$12:K$45,K$12:K$45,"&gt;0")/3</f>
        <v>42696.411805555552</v>
      </c>
      <c r="L80" s="194">
        <f t="shared" ref="L80:W80" si="72">_xlfn.MINIFS(L$12:L$45,L$12:L$45,"&gt;0")</f>
        <v>467.31034482758616</v>
      </c>
      <c r="M80" s="194">
        <f t="shared" si="72"/>
        <v>400.68965517241378</v>
      </c>
      <c r="N80" s="194">
        <f t="shared" si="72"/>
        <v>451.72413793103448</v>
      </c>
      <c r="O80" s="194">
        <f t="shared" si="72"/>
        <v>380.68965517241378</v>
      </c>
      <c r="P80" s="194">
        <f t="shared" si="72"/>
        <v>327.58620689655174</v>
      </c>
      <c r="Q80" s="194">
        <f t="shared" si="72"/>
        <v>308</v>
      </c>
      <c r="R80" s="194">
        <f t="shared" si="72"/>
        <v>335.44827586206895</v>
      </c>
      <c r="S80" s="194">
        <f t="shared" si="72"/>
        <v>326.55172413793105</v>
      </c>
      <c r="T80" s="194">
        <f t="shared" si="72"/>
        <v>385.17241379310349</v>
      </c>
      <c r="U80" s="194">
        <f t="shared" si="72"/>
        <v>544.82758620689651</v>
      </c>
      <c r="V80" s="194">
        <f t="shared" si="72"/>
        <v>1189.090909090909</v>
      </c>
      <c r="W80" s="194">
        <f t="shared" si="72"/>
        <v>1090.909090909091</v>
      </c>
      <c r="X80" s="194">
        <f t="shared" si="71"/>
        <v>2456.875</v>
      </c>
      <c r="Y80" s="194">
        <f t="shared" si="71"/>
        <v>1745.9870689655172</v>
      </c>
      <c r="Z80" s="194">
        <f t="shared" si="71"/>
        <v>1937.7586206896551</v>
      </c>
      <c r="AA80" s="194">
        <f t="shared" si="71"/>
        <v>1125.7241379310344</v>
      </c>
      <c r="AB80" s="194">
        <f t="shared" si="71"/>
        <v>869.7664071190211</v>
      </c>
      <c r="AC80" s="194">
        <f t="shared" si="71"/>
        <v>102.98850574712642</v>
      </c>
      <c r="AD80" s="194">
        <f t="shared" si="71"/>
        <v>102.79569892473118</v>
      </c>
      <c r="AE80" s="194">
        <f t="shared" si="71"/>
        <v>130.77572964669739</v>
      </c>
      <c r="AF80" s="194">
        <f t="shared" si="71"/>
        <v>134.48275862068965</v>
      </c>
      <c r="AG80" s="194">
        <f t="shared" si="71"/>
        <v>6262.7796052631575</v>
      </c>
      <c r="AH80" s="194">
        <f t="shared" si="71"/>
        <v>36.4</v>
      </c>
      <c r="AI80" s="194">
        <f t="shared" si="71"/>
        <v>327.59999999999997</v>
      </c>
      <c r="AJ80" s="194">
        <f t="shared" si="71"/>
        <v>12279.066937119676</v>
      </c>
      <c r="AK80" s="194">
        <f t="shared" si="71"/>
        <v>103.82142857142857</v>
      </c>
      <c r="AL80" s="194">
        <f t="shared" si="71"/>
        <v>4972.1785714285716</v>
      </c>
      <c r="AM80" s="194">
        <f t="shared" si="71"/>
        <v>9309</v>
      </c>
      <c r="AN80" s="194">
        <f t="shared" si="71"/>
        <v>760.90909090909099</v>
      </c>
      <c r="AO80" s="194">
        <f t="shared" si="71"/>
        <v>399</v>
      </c>
      <c r="AP80" s="194">
        <f t="shared" si="71"/>
        <v>493</v>
      </c>
      <c r="AQ80" s="194">
        <f t="shared" si="71"/>
        <v>513</v>
      </c>
      <c r="AR80" s="194">
        <f t="shared" si="71"/>
        <v>377</v>
      </c>
      <c r="AS80" s="194">
        <f t="shared" si="71"/>
        <v>875</v>
      </c>
      <c r="AT80" s="194">
        <f t="shared" si="71"/>
        <v>1667</v>
      </c>
      <c r="AU80" s="194">
        <f t="shared" si="71"/>
        <v>2006.9999999999998</v>
      </c>
      <c r="AV80" s="194">
        <f t="shared" si="71"/>
        <v>0</v>
      </c>
      <c r="AW80" s="194">
        <f t="shared" si="71"/>
        <v>0</v>
      </c>
      <c r="AX80" s="195">
        <f t="shared" si="71"/>
        <v>0</v>
      </c>
      <c r="AZ80" s="265"/>
    </row>
    <row r="81" spans="2:52" x14ac:dyDescent="0.25">
      <c r="B81" s="265"/>
      <c r="E81" s="29"/>
      <c r="F81" s="185" t="s">
        <v>83</v>
      </c>
      <c r="G81" s="317"/>
      <c r="H81" s="186"/>
      <c r="I81" s="186"/>
      <c r="J81" s="186"/>
      <c r="K81" s="186"/>
      <c r="L81" s="186"/>
      <c r="M81" s="186"/>
      <c r="N81" s="186"/>
      <c r="O81" s="186"/>
      <c r="P81" s="186"/>
      <c r="Q81" s="186"/>
      <c r="R81" s="186"/>
      <c r="S81" s="186"/>
      <c r="T81" s="186"/>
      <c r="U81" s="186"/>
      <c r="V81" s="186"/>
      <c r="W81" s="186"/>
      <c r="X81" s="186"/>
      <c r="Y81" s="186"/>
      <c r="Z81" s="186"/>
      <c r="AA81" s="186"/>
      <c r="AB81" s="186"/>
      <c r="AC81" s="186"/>
      <c r="AD81" s="186"/>
      <c r="AE81" s="186"/>
      <c r="AF81" s="186"/>
      <c r="AG81" s="186"/>
      <c r="AH81" s="186"/>
      <c r="AI81" s="186"/>
      <c r="AJ81" s="186"/>
      <c r="AK81" s="186"/>
      <c r="AL81" s="186"/>
      <c r="AM81" s="186"/>
      <c r="AN81" s="186"/>
      <c r="AO81" s="186"/>
      <c r="AP81" s="186"/>
      <c r="AQ81" s="186"/>
      <c r="AR81" s="186"/>
      <c r="AS81" s="186"/>
      <c r="AT81" s="186"/>
      <c r="AU81" s="186"/>
      <c r="AV81" s="186"/>
      <c r="AW81" s="186"/>
      <c r="AX81" s="187"/>
      <c r="AZ81" s="265"/>
    </row>
    <row r="82" spans="2:52" x14ac:dyDescent="0.25">
      <c r="B82" s="265"/>
      <c r="E82" s="28"/>
      <c r="F82" s="188" t="str">
        <f>F76</f>
        <v>Number of Accounts</v>
      </c>
      <c r="G82" s="318"/>
      <c r="H82" s="189">
        <f>COUNTIFS(Original_RS,$G49,H$12:H$45,"&gt;0")</f>
        <v>4</v>
      </c>
      <c r="I82" s="189">
        <f>COUNTIFS(Original_RS,$G49,I$12:I$45,"&gt;0")</f>
        <v>4</v>
      </c>
      <c r="J82" s="189">
        <f>COUNTIFS(Original_RS,$G49,J$12:J$45,"&gt;0")</f>
        <v>4</v>
      </c>
      <c r="K82" s="189">
        <f>AVERAGEIF(L82:AX82,"&gt;0")</f>
        <v>3.9722222222222223</v>
      </c>
      <c r="L82" s="189">
        <f t="shared" ref="L82:AX82" si="73">COUNTIFS(Original_RS,$G49,L$12:L$45,"&gt;0")</f>
        <v>4</v>
      </c>
      <c r="M82" s="189">
        <f t="shared" si="73"/>
        <v>4</v>
      </c>
      <c r="N82" s="189">
        <f t="shared" si="73"/>
        <v>4</v>
      </c>
      <c r="O82" s="189">
        <f t="shared" si="73"/>
        <v>4</v>
      </c>
      <c r="P82" s="189">
        <f t="shared" si="73"/>
        <v>4</v>
      </c>
      <c r="Q82" s="189">
        <f t="shared" si="73"/>
        <v>3</v>
      </c>
      <c r="R82" s="189">
        <f t="shared" si="73"/>
        <v>4</v>
      </c>
      <c r="S82" s="189">
        <f t="shared" si="73"/>
        <v>4</v>
      </c>
      <c r="T82" s="189">
        <f t="shared" si="73"/>
        <v>4</v>
      </c>
      <c r="U82" s="189">
        <f t="shared" si="73"/>
        <v>4</v>
      </c>
      <c r="V82" s="189">
        <f t="shared" si="73"/>
        <v>4</v>
      </c>
      <c r="W82" s="189">
        <f t="shared" si="73"/>
        <v>4</v>
      </c>
      <c r="X82" s="189">
        <f t="shared" si="73"/>
        <v>4</v>
      </c>
      <c r="Y82" s="189">
        <f t="shared" si="73"/>
        <v>4</v>
      </c>
      <c r="Z82" s="189">
        <f t="shared" si="73"/>
        <v>4</v>
      </c>
      <c r="AA82" s="189">
        <f t="shared" si="73"/>
        <v>4</v>
      </c>
      <c r="AB82" s="189">
        <f t="shared" si="73"/>
        <v>4</v>
      </c>
      <c r="AC82" s="189">
        <f t="shared" si="73"/>
        <v>4</v>
      </c>
      <c r="AD82" s="189">
        <f t="shared" si="73"/>
        <v>4</v>
      </c>
      <c r="AE82" s="189">
        <f t="shared" si="73"/>
        <v>4</v>
      </c>
      <c r="AF82" s="189">
        <f t="shared" si="73"/>
        <v>4</v>
      </c>
      <c r="AG82" s="189">
        <f t="shared" si="73"/>
        <v>4</v>
      </c>
      <c r="AH82" s="189">
        <f t="shared" si="73"/>
        <v>4</v>
      </c>
      <c r="AI82" s="189">
        <f t="shared" si="73"/>
        <v>4</v>
      </c>
      <c r="AJ82" s="189">
        <f t="shared" si="73"/>
        <v>4</v>
      </c>
      <c r="AK82" s="189">
        <f t="shared" si="73"/>
        <v>4</v>
      </c>
      <c r="AL82" s="189">
        <f t="shared" si="73"/>
        <v>4</v>
      </c>
      <c r="AM82" s="189">
        <f t="shared" si="73"/>
        <v>4</v>
      </c>
      <c r="AN82" s="189">
        <f t="shared" si="73"/>
        <v>4</v>
      </c>
      <c r="AO82" s="189">
        <f t="shared" si="73"/>
        <v>4</v>
      </c>
      <c r="AP82" s="189">
        <f t="shared" si="73"/>
        <v>4</v>
      </c>
      <c r="AQ82" s="189">
        <f t="shared" si="73"/>
        <v>4</v>
      </c>
      <c r="AR82" s="189">
        <f t="shared" si="73"/>
        <v>4</v>
      </c>
      <c r="AS82" s="189">
        <f t="shared" si="73"/>
        <v>4</v>
      </c>
      <c r="AT82" s="189">
        <f t="shared" si="73"/>
        <v>4</v>
      </c>
      <c r="AU82" s="189">
        <f t="shared" si="73"/>
        <v>4</v>
      </c>
      <c r="AV82" s="189">
        <f t="shared" si="73"/>
        <v>0</v>
      </c>
      <c r="AW82" s="189">
        <f t="shared" si="73"/>
        <v>0</v>
      </c>
      <c r="AX82" s="190">
        <f t="shared" si="73"/>
        <v>0</v>
      </c>
      <c r="AZ82" s="265"/>
    </row>
    <row r="83" spans="2:52" x14ac:dyDescent="0.25">
      <c r="B83" s="265"/>
      <c r="F83" s="188" t="str">
        <f>F77</f>
        <v>Largest</v>
      </c>
      <c r="G83" s="319">
        <f>J83/8760</f>
        <v>26.617673308426731</v>
      </c>
      <c r="H83" s="191">
        <f>_xlfn.MAXIFS(H$12:H$45,H$12:H$45,"&gt;0",Original_RS,$G49)</f>
        <v>196193.28551092028</v>
      </c>
      <c r="I83" s="191">
        <f>_xlfn.MAXIFS(I$12:I$45,I$12:I$45,"&gt;0",Original_RS,$G49)</f>
        <v>230756.88770053477</v>
      </c>
      <c r="J83" s="191">
        <f>_xlfn.MAXIFS(J$12:J$45,J$12:J$45,"&gt;0",Original_RS,$G49)</f>
        <v>233170.81818181818</v>
      </c>
      <c r="K83" s="191">
        <f>_xlfn.MAXIFS(K$12:K$45,K$12:K$45,"&gt;0",Original_RS,$G49)/3</f>
        <v>220040.33046442442</v>
      </c>
      <c r="L83" s="191">
        <f t="shared" ref="L83:AX83" si="74">_xlfn.MAXIFS(L$12:L$45,L$12:L$45,"&gt;0",Original_RS,$G49)</f>
        <v>8418.8846153846152</v>
      </c>
      <c r="M83" s="191">
        <f t="shared" si="74"/>
        <v>13153.599999999999</v>
      </c>
      <c r="N83" s="191">
        <f t="shared" si="74"/>
        <v>19210.696774193548</v>
      </c>
      <c r="O83" s="191">
        <f t="shared" si="74"/>
        <v>18187.385984427139</v>
      </c>
      <c r="P83" s="191">
        <f t="shared" si="74"/>
        <v>18910.517241379312</v>
      </c>
      <c r="Q83" s="191">
        <f t="shared" si="74"/>
        <v>2419.8166666666666</v>
      </c>
      <c r="R83" s="191">
        <f t="shared" si="74"/>
        <v>18839.142857142855</v>
      </c>
      <c r="S83" s="191">
        <f t="shared" si="74"/>
        <v>19529.060606060608</v>
      </c>
      <c r="T83" s="191">
        <f t="shared" si="74"/>
        <v>19047.931034482757</v>
      </c>
      <c r="U83" s="191">
        <f t="shared" si="74"/>
        <v>19682.933333333331</v>
      </c>
      <c r="V83" s="191">
        <f t="shared" si="74"/>
        <v>19912.258064516129</v>
      </c>
      <c r="W83" s="191">
        <f t="shared" si="74"/>
        <v>21300.875</v>
      </c>
      <c r="X83" s="191">
        <f t="shared" si="74"/>
        <v>20098.430020283973</v>
      </c>
      <c r="Y83" s="191">
        <f t="shared" si="74"/>
        <v>18349.150862068964</v>
      </c>
      <c r="Z83" s="191">
        <f t="shared" si="74"/>
        <v>20362.814655172413</v>
      </c>
      <c r="AA83" s="191">
        <f t="shared" si="74"/>
        <v>18798.827586206899</v>
      </c>
      <c r="AB83" s="191">
        <f t="shared" si="74"/>
        <v>19594.694879832812</v>
      </c>
      <c r="AC83" s="191">
        <f t="shared" si="74"/>
        <v>18290.254545454547</v>
      </c>
      <c r="AD83" s="191">
        <f t="shared" si="74"/>
        <v>19661.705747126434</v>
      </c>
      <c r="AE83" s="191">
        <f t="shared" si="74"/>
        <v>18964.191222570531</v>
      </c>
      <c r="AF83" s="191">
        <f t="shared" si="74"/>
        <v>18036.05015673981</v>
      </c>
      <c r="AG83" s="191">
        <f t="shared" si="74"/>
        <v>19470.482758620688</v>
      </c>
      <c r="AH83" s="191">
        <f t="shared" si="74"/>
        <v>19508.345872518286</v>
      </c>
      <c r="AI83" s="191">
        <f t="shared" si="74"/>
        <v>19621.939393939392</v>
      </c>
      <c r="AJ83" s="191">
        <f t="shared" si="74"/>
        <v>19732.680250783698</v>
      </c>
      <c r="AK83" s="191">
        <f t="shared" si="74"/>
        <v>19131.172413793101</v>
      </c>
      <c r="AL83" s="191">
        <f t="shared" si="74"/>
        <v>19249.586206896551</v>
      </c>
      <c r="AM83" s="191">
        <f t="shared" si="74"/>
        <v>20417</v>
      </c>
      <c r="AN83" s="191">
        <f t="shared" si="74"/>
        <v>18786</v>
      </c>
      <c r="AO83" s="191">
        <f t="shared" si="74"/>
        <v>18461</v>
      </c>
      <c r="AP83" s="191">
        <f t="shared" si="74"/>
        <v>18272</v>
      </c>
      <c r="AQ83" s="191">
        <f t="shared" si="74"/>
        <v>20756</v>
      </c>
      <c r="AR83" s="191">
        <f t="shared" si="74"/>
        <v>19712</v>
      </c>
      <c r="AS83" s="191">
        <f t="shared" si="74"/>
        <v>21290</v>
      </c>
      <c r="AT83" s="191">
        <f t="shared" si="74"/>
        <v>22007</v>
      </c>
      <c r="AU83" s="191">
        <f t="shared" si="74"/>
        <v>23185</v>
      </c>
      <c r="AV83" s="191">
        <f t="shared" si="74"/>
        <v>0</v>
      </c>
      <c r="AW83" s="191">
        <f t="shared" si="74"/>
        <v>0</v>
      </c>
      <c r="AX83" s="192">
        <f t="shared" si="74"/>
        <v>0</v>
      </c>
      <c r="AZ83" s="265"/>
    </row>
    <row r="84" spans="2:52" x14ac:dyDescent="0.25">
      <c r="B84" s="265"/>
      <c r="F84" s="188" t="str">
        <f>F78</f>
        <v>Average</v>
      </c>
      <c r="G84" s="319">
        <f>J84/8760</f>
        <v>17.805488859967721</v>
      </c>
      <c r="H84" s="191">
        <f>IF(OR(H$46=0,H82=0),0,IF(TRUE(),AVERAGEIFS(H$12:H$45,H$12:H$45,"&gt;0",Original_RS,$G49),0))</f>
        <v>70590.062064004582</v>
      </c>
      <c r="I84" s="191">
        <f>IF(OR(I$46=0,I82=0),0,IF(TRUE(),AVERAGEIFS(I$12:I$45,I$12:I$45,"&gt;0",Original_RS,$G49),0))</f>
        <v>134796.30545432982</v>
      </c>
      <c r="J84" s="191">
        <f>IF(OR(J$46=0,J82=0),0,IF(TRUE(),AVERAGEIFS(J$12:J$45,J$12:J$45,"&gt;0",Original_RS,$G49),0))</f>
        <v>155976.08241331723</v>
      </c>
      <c r="K84" s="191">
        <f>IF(OR(K$46=0,K82=0),0,IF(TRUE(),AVERAGEIFS(K$12:K$45,K$12:K$45,"&gt;0",Original_RS,$G49),0))/3</f>
        <v>120454.1499772172</v>
      </c>
      <c r="L84" s="191">
        <f t="shared" ref="L84:AX84" si="75">IF(OR(L$46=0,L82=0),0,IF(TRUE(),AVERAGEIFS(L$12:L$45,L$12:L$45,"&gt;0",Original_RS,$G49),0))</f>
        <v>5580.3803451930198</v>
      </c>
      <c r="M84" s="191">
        <f t="shared" si="75"/>
        <v>5955.0787347894966</v>
      </c>
      <c r="N84" s="191">
        <f t="shared" si="75"/>
        <v>6639.6246300603361</v>
      </c>
      <c r="O84" s="191">
        <f t="shared" si="75"/>
        <v>5669.2349833147937</v>
      </c>
      <c r="P84" s="191">
        <f t="shared" si="75"/>
        <v>5888.2368354885057</v>
      </c>
      <c r="Q84" s="191">
        <f t="shared" si="75"/>
        <v>1614.4736111111113</v>
      </c>
      <c r="R84" s="191">
        <f t="shared" si="75"/>
        <v>5853.2919923966583</v>
      </c>
      <c r="S84" s="191">
        <f t="shared" si="75"/>
        <v>6169.5672973172504</v>
      </c>
      <c r="T84" s="191">
        <f t="shared" si="75"/>
        <v>5883.6318308186128</v>
      </c>
      <c r="U84" s="191">
        <f t="shared" si="75"/>
        <v>6187.2552634366775</v>
      </c>
      <c r="V84" s="191">
        <f t="shared" si="75"/>
        <v>7078.1836304673043</v>
      </c>
      <c r="W84" s="191">
        <f t="shared" si="75"/>
        <v>8474.7213123885922</v>
      </c>
      <c r="X84" s="191">
        <f t="shared" si="75"/>
        <v>8309.1939021298167</v>
      </c>
      <c r="Y84" s="191">
        <f t="shared" si="75"/>
        <v>7684.7040948275862</v>
      </c>
      <c r="Z84" s="191">
        <f t="shared" si="75"/>
        <v>9133.1136192992199</v>
      </c>
      <c r="AA84" s="191">
        <f t="shared" si="75"/>
        <v>9307.2354467927325</v>
      </c>
      <c r="AB84" s="191">
        <f t="shared" si="75"/>
        <v>10271.270027777075</v>
      </c>
      <c r="AC84" s="191">
        <f t="shared" si="75"/>
        <v>11212.102547653958</v>
      </c>
      <c r="AD84" s="191">
        <f t="shared" si="75"/>
        <v>13636.534636285687</v>
      </c>
      <c r="AE84" s="191">
        <f t="shared" si="75"/>
        <v>13291.726017123401</v>
      </c>
      <c r="AF84" s="191">
        <f t="shared" si="75"/>
        <v>12143.434980476268</v>
      </c>
      <c r="AG84" s="191">
        <f t="shared" si="75"/>
        <v>12081.238004764065</v>
      </c>
      <c r="AH84" s="191">
        <f t="shared" si="75"/>
        <v>13062.679287486937</v>
      </c>
      <c r="AI84" s="191">
        <f t="shared" si="75"/>
        <v>14663.072889713072</v>
      </c>
      <c r="AJ84" s="191">
        <f t="shared" si="75"/>
        <v>15548.651378834475</v>
      </c>
      <c r="AK84" s="191">
        <f t="shared" si="75"/>
        <v>14350.476283171778</v>
      </c>
      <c r="AL84" s="191">
        <f t="shared" si="75"/>
        <v>14524.954751310981</v>
      </c>
      <c r="AM84" s="191">
        <f t="shared" si="75"/>
        <v>14462.75</v>
      </c>
      <c r="AN84" s="191">
        <f t="shared" si="75"/>
        <v>12379.25</v>
      </c>
      <c r="AO84" s="191">
        <f t="shared" si="75"/>
        <v>11098.75</v>
      </c>
      <c r="AP84" s="191">
        <f t="shared" si="75"/>
        <v>10999</v>
      </c>
      <c r="AQ84" s="191">
        <f t="shared" si="75"/>
        <v>12585.5</v>
      </c>
      <c r="AR84" s="191">
        <f t="shared" si="75"/>
        <v>11585</v>
      </c>
      <c r="AS84" s="191">
        <f t="shared" si="75"/>
        <v>11836.25</v>
      </c>
      <c r="AT84" s="191">
        <f t="shared" si="75"/>
        <v>13000.75</v>
      </c>
      <c r="AU84" s="191">
        <f t="shared" si="75"/>
        <v>13604.75</v>
      </c>
      <c r="AV84" s="191">
        <f t="shared" si="75"/>
        <v>0</v>
      </c>
      <c r="AW84" s="191">
        <f t="shared" si="75"/>
        <v>0</v>
      </c>
      <c r="AX84" s="192">
        <f t="shared" si="75"/>
        <v>0</v>
      </c>
      <c r="AZ84" s="265"/>
    </row>
    <row r="85" spans="2:52" x14ac:dyDescent="0.25">
      <c r="B85" s="265"/>
      <c r="F85" s="188" t="str">
        <f>F79</f>
        <v>Median</v>
      </c>
      <c r="G85" s="318"/>
      <c r="H85" s="191">
        <f t="array" ref="H85">IF(H82=0,0,MEDIAN(IF(Original_RS=$G$49,H$12:H$45)))</f>
        <v>33275.551164215685</v>
      </c>
      <c r="I85" s="191">
        <f t="array" ref="I85">IF(I82=0,0,MEDIAN(IF(Original_RS=$G$49,I$12:I$45)))</f>
        <v>125064.6854407452</v>
      </c>
      <c r="J85" s="191">
        <f t="array" ref="J85">IF(J82=0,0,MEDIAN(IF(Original_RS=$G$49,J$12:J$45)))</f>
        <v>170279.54985337242</v>
      </c>
      <c r="K85" s="191">
        <f t="array" ref="K85">IF(K82=0,0,MEDIAN(IF(Original_RS=$G$49,K$12:K$45)))/3</f>
        <v>109539.92881944444</v>
      </c>
      <c r="L85" s="191">
        <f t="array" ref="L85">IF(L82=0,0,MEDIAN(IF(Original_RS=$G$49,L$12:L$45)))</f>
        <v>5101.3479525862067</v>
      </c>
      <c r="M85" s="191">
        <f t="array" ref="M85">IF(M82=0,0,MEDIAN(IF(Original_RS=$G$49,M$12:M$45)))</f>
        <v>3960.7278996865207</v>
      </c>
      <c r="N85" s="191">
        <f t="array" ref="N85">IF(N82=0,0,MEDIAN(IF(Original_RS=$G$49,N$12:N$45)))</f>
        <v>2862.8460140897296</v>
      </c>
      <c r="O85" s="191">
        <f t="array" ref="O85">IF(O82=0,0,MEDIAN(IF(Original_RS=$G$49,O$12:O$45)))</f>
        <v>1705.3804226918796</v>
      </c>
      <c r="P85" s="191">
        <f t="array" ref="P85">IF(P82=0,0,MEDIAN(IF(Original_RS=$G$49,P$12:P$45)))</f>
        <v>1750.432183908046</v>
      </c>
      <c r="Q85" s="191">
        <f t="array" ref="Q85">IF(Q82=0,0,MEDIAN(IF(Original_RS=$G$49,Q$12:Q$45)))</f>
        <v>1354.6354166666667</v>
      </c>
      <c r="R85" s="191">
        <f t="array" ref="R85">IF(R82=0,0,MEDIAN(IF(Original_RS=$G$49,R$12:R$45)))</f>
        <v>1980.7227011494256</v>
      </c>
      <c r="S85" s="191">
        <f t="array" ref="S85">IF(S82=0,0,MEDIAN(IF(Original_RS=$G$49,S$12:S$45)))</f>
        <v>2158.7564655172414</v>
      </c>
      <c r="T85" s="191">
        <f t="array" ref="T85">IF(T82=0,0,MEDIAN(IF(Original_RS=$G$49,T$12:T$45)))</f>
        <v>1837.9972290640394</v>
      </c>
      <c r="U85" s="191">
        <f t="array" ref="U85">IF(U82=0,0,MEDIAN(IF(Original_RS=$G$49,U$12:U$45)))</f>
        <v>1940.2824566979184</v>
      </c>
      <c r="V85" s="191">
        <f t="array" ref="V85">IF(V82=0,0,MEDIAN(IF(Original_RS=$G$49,V$12:V$45)))</f>
        <v>3269.5291377674539</v>
      </c>
      <c r="W85" s="191">
        <f t="array" ref="W85">IF(W82=0,0,MEDIAN(IF(Original_RS=$G$49,W$12:W$45)))</f>
        <v>5093.7683823529414</v>
      </c>
      <c r="X85" s="191">
        <f t="array" ref="X85">IF(X82=0,0,MEDIAN(IF(Original_RS=$G$49,X$12:X$45)))</f>
        <v>5340.7352941176468</v>
      </c>
      <c r="Y85" s="191">
        <f t="array" ref="Y85">IF(Y82=0,0,MEDIAN(IF(Original_RS=$G$49,Y$12:Y$45)))</f>
        <v>5165.1000000000004</v>
      </c>
      <c r="Z85" s="191">
        <f t="array" ref="Z85">IF(Z82=0,0,MEDIAN(IF(Original_RS=$G$49,Z$12:Z$45)))</f>
        <v>7097.5268075639588</v>
      </c>
      <c r="AA85" s="191">
        <f t="array" ref="AA85">IF(AA82=0,0,MEDIAN(IF(Original_RS=$G$49,AA$12:AA$45)))</f>
        <v>8652.1950315164977</v>
      </c>
      <c r="AB85" s="191">
        <f t="array" ref="AB85">IF(AB82=0,0,MEDIAN(IF(Original_RS=$G$49,AB$12:AB$45)))</f>
        <v>10057.497213338895</v>
      </c>
      <c r="AC85" s="191">
        <f t="array" ref="AC85">IF(AC82=0,0,MEDIAN(IF(Original_RS=$G$49,AC$12:AC$45)))</f>
        <v>10949.49448924731</v>
      </c>
      <c r="AD85" s="191">
        <f t="array" ref="AD85">IF(AD82=0,0,MEDIAN(IF(Original_RS=$G$49,AD$12:AD$45)))</f>
        <v>12819.358872126437</v>
      </c>
      <c r="AE85" s="191">
        <f t="array" ref="AE85">IF(AE82=0,0,MEDIAN(IF(Original_RS=$G$49,AE$12:AE$45)))</f>
        <v>12446.176071055381</v>
      </c>
      <c r="AF85" s="191">
        <f t="array" ref="AF85">IF(AF82=0,0,MEDIAN(IF(Original_RS=$G$49,AF$12:AF$45)))</f>
        <v>11022.720480668757</v>
      </c>
      <c r="AG85" s="191">
        <f t="array" ref="AG85">IF(AG82=0,0,MEDIAN(IF(Original_RS=$G$49,AG$12:AG$45)))</f>
        <v>11295.844827586207</v>
      </c>
      <c r="AH85" s="191">
        <f t="array" ref="AH85">IF(AH82=0,0,MEDIAN(IF(Original_RS=$G$49,AH$12:AH$45)))</f>
        <v>14615.071055381401</v>
      </c>
      <c r="AI85" s="191">
        <f t="array" ref="AI85">IF(AI82=0,0,MEDIAN(IF(Original_RS=$G$49,AI$12:AI$45)))</f>
        <v>15602.965298142719</v>
      </c>
      <c r="AJ85" s="191">
        <f t="array" ref="AJ85">IF(AJ82=0,0,MEDIAN(IF(Original_RS=$G$49,AJ$12:AJ$45)))</f>
        <v>15091.429163717261</v>
      </c>
      <c r="AK85" s="191">
        <f t="array" ref="AK85">IF(AK82=0,0,MEDIAN(IF(Original_RS=$G$49,AK$12:AK$45)))</f>
        <v>14352.908231368187</v>
      </c>
      <c r="AL85" s="191">
        <f t="array" ref="AL85">IF(AL82=0,0,MEDIAN(IF(Original_RS=$G$49,AL$12:AL$45)))</f>
        <v>14364.4021134594</v>
      </c>
      <c r="AM85" s="191">
        <f t="array" ref="AM85">IF(AM82=0,0,MEDIAN(IF(Original_RS=$G$49,AM$12:AM$45)))</f>
        <v>14062.5</v>
      </c>
      <c r="AN85" s="191">
        <f t="array" ref="AN85">IF(AN82=0,0,MEDIAN(IF(Original_RS=$G$49,AN$12:AN$45)))</f>
        <v>14081</v>
      </c>
      <c r="AO85" s="191">
        <f t="array" ref="AO85">IF(AO82=0,0,MEDIAN(IF(Original_RS=$G$49,AO$12:AO$45)))</f>
        <v>12767.5</v>
      </c>
      <c r="AP85" s="191">
        <f t="array" ref="AP85">IF(AP82=0,0,MEDIAN(IF(Original_RS=$G$49,AP$12:AP$45)))</f>
        <v>12615.5</v>
      </c>
      <c r="AQ85" s="191">
        <f t="array" ref="AQ85">IF(AQ82=0,0,MEDIAN(IF(Original_RS=$G$49,AQ$12:AQ$45)))</f>
        <v>14536.5</v>
      </c>
      <c r="AR85" s="191">
        <f t="array" ref="AR85">IF(AR82=0,0,MEDIAN(IF(Original_RS=$G$49,AR$12:AR$45)))</f>
        <v>13125.5</v>
      </c>
      <c r="AS85" s="191">
        <f t="array" ref="AS85">IF(AS82=0,0,MEDIAN(IF(Original_RS=$G$49,AS$12:AS$45)))</f>
        <v>12590</v>
      </c>
      <c r="AT85" s="191">
        <f t="array" ref="AT85">IF(AT82=0,0,MEDIAN(IF(Original_RS=$G$49,AT$12:AT$45)))</f>
        <v>14164.5</v>
      </c>
      <c r="AU85" s="191">
        <f t="array" ref="AU85">IF(AU82=0,0,MEDIAN(IF(Original_RS=$G$49,AU$12:AU$45)))</f>
        <v>14613.5</v>
      </c>
      <c r="AV85" s="191">
        <f t="array" ref="AV85">IF(AV82=0,0,MEDIAN(IF(Original_RS=$G$49,AV$12:AV$45)))</f>
        <v>0</v>
      </c>
      <c r="AW85" s="191">
        <f t="array" ref="AW85">IF(AW82=0,0,MEDIAN(IF(Original_RS=$G$49,AW$12:AW$45)))</f>
        <v>0</v>
      </c>
      <c r="AX85" s="192">
        <f t="array" ref="AX85">IF(AX82=0,0,MEDIAN(IF(Original_RS=$G$49,AX$12:AX$45)))</f>
        <v>0</v>
      </c>
      <c r="AZ85" s="265"/>
    </row>
    <row r="86" spans="2:52" x14ac:dyDescent="0.25">
      <c r="B86" s="265"/>
      <c r="F86" s="188" t="str">
        <f t="shared" ref="F86" si="76">F80</f>
        <v>Minimum</v>
      </c>
      <c r="G86" s="318"/>
      <c r="H86" s="191">
        <f>_xlfn.MINIFS(H$12:H$45,H$12:H$45,"&gt;0",Original_RS,$G$49)</f>
        <v>19615.860416666663</v>
      </c>
      <c r="I86" s="191">
        <f>_xlfn.MINIFS(I$12:I$45,I$12:I$45,"&gt;0",Original_RS,$G$49)</f>
        <v>58298.963235294112</v>
      </c>
      <c r="J86" s="191">
        <f>_xlfn.MINIFS(J$12:J$45,J$12:J$45,"&gt;0",Original_RS,$G$49)</f>
        <v>50174.411764705881</v>
      </c>
      <c r="K86" s="316">
        <f>_xlfn.MINIFS(K$12:K$45,K$12:K$45,"&gt;0",Original_RS,$G$49)/3</f>
        <v>42696.411805555552</v>
      </c>
      <c r="L86" s="194">
        <f t="shared" ref="L86:AX86" si="77">_xlfn.MINIFS(L$12:L$45,L$12:L$45,"&gt;0",Original_RS,$G$49)</f>
        <v>3699.9408602150534</v>
      </c>
      <c r="M86" s="194">
        <f t="shared" si="77"/>
        <v>2745.2591397849465</v>
      </c>
      <c r="N86" s="194">
        <f t="shared" si="77"/>
        <v>1622.1097178683385</v>
      </c>
      <c r="O86" s="194">
        <f t="shared" si="77"/>
        <v>1078.7931034482758</v>
      </c>
      <c r="P86" s="194">
        <f t="shared" si="77"/>
        <v>1141.5657327586207</v>
      </c>
      <c r="Q86" s="194">
        <f t="shared" si="77"/>
        <v>1068.96875</v>
      </c>
      <c r="R86" s="194">
        <f t="shared" si="77"/>
        <v>612.5797101449275</v>
      </c>
      <c r="S86" s="194">
        <f t="shared" si="77"/>
        <v>831.695652173913</v>
      </c>
      <c r="T86" s="194">
        <f t="shared" si="77"/>
        <v>810.6018306636156</v>
      </c>
      <c r="U86" s="194">
        <f t="shared" si="77"/>
        <v>1185.522807017544</v>
      </c>
      <c r="V86" s="194">
        <f t="shared" si="77"/>
        <v>1861.4181818181819</v>
      </c>
      <c r="W86" s="194">
        <f t="shared" si="77"/>
        <v>2410.473484848485</v>
      </c>
      <c r="X86" s="194">
        <f t="shared" si="77"/>
        <v>2456.875</v>
      </c>
      <c r="Y86" s="194">
        <f t="shared" si="77"/>
        <v>2059.4655172413795</v>
      </c>
      <c r="Z86" s="194">
        <f t="shared" si="77"/>
        <v>1974.5862068965516</v>
      </c>
      <c r="AA86" s="194">
        <f t="shared" si="77"/>
        <v>1125.7241379310344</v>
      </c>
      <c r="AB86" s="194">
        <f t="shared" si="77"/>
        <v>1375.3908045977009</v>
      </c>
      <c r="AC86" s="194">
        <f t="shared" si="77"/>
        <v>4659.166666666667</v>
      </c>
      <c r="AD86" s="194">
        <f t="shared" si="77"/>
        <v>9245.7150537634407</v>
      </c>
      <c r="AE86" s="194">
        <f t="shared" si="77"/>
        <v>9310.3607038123155</v>
      </c>
      <c r="AF86" s="194">
        <f t="shared" si="77"/>
        <v>8492.2488038277515</v>
      </c>
      <c r="AG86" s="194">
        <f t="shared" si="77"/>
        <v>6262.7796052631575</v>
      </c>
      <c r="AH86" s="194">
        <f t="shared" si="77"/>
        <v>3512.229166666667</v>
      </c>
      <c r="AI86" s="194">
        <f t="shared" si="77"/>
        <v>7824.4215686274511</v>
      </c>
      <c r="AJ86" s="194">
        <f t="shared" si="77"/>
        <v>12279.066937119676</v>
      </c>
      <c r="AK86" s="194">
        <f t="shared" si="77"/>
        <v>9564.9162561576341</v>
      </c>
      <c r="AL86" s="194">
        <f t="shared" si="77"/>
        <v>10121.428571428571</v>
      </c>
      <c r="AM86" s="194">
        <f t="shared" si="77"/>
        <v>9309</v>
      </c>
      <c r="AN86" s="194">
        <f t="shared" si="77"/>
        <v>2569</v>
      </c>
      <c r="AO86" s="194">
        <f t="shared" si="77"/>
        <v>399</v>
      </c>
      <c r="AP86" s="194">
        <f t="shared" si="77"/>
        <v>493</v>
      </c>
      <c r="AQ86" s="194">
        <f t="shared" si="77"/>
        <v>513</v>
      </c>
      <c r="AR86" s="194">
        <f t="shared" si="77"/>
        <v>377</v>
      </c>
      <c r="AS86" s="194">
        <f t="shared" si="77"/>
        <v>875</v>
      </c>
      <c r="AT86" s="194">
        <f t="shared" si="77"/>
        <v>1667</v>
      </c>
      <c r="AU86" s="194">
        <f t="shared" si="77"/>
        <v>2006.9999999999998</v>
      </c>
      <c r="AV86" s="194">
        <f t="shared" si="77"/>
        <v>0</v>
      </c>
      <c r="AW86" s="194">
        <f t="shared" si="77"/>
        <v>0</v>
      </c>
      <c r="AX86" s="195">
        <f t="shared" si="77"/>
        <v>0</v>
      </c>
      <c r="AZ86" s="265"/>
    </row>
    <row r="87" spans="2:52" x14ac:dyDescent="0.25">
      <c r="B87" s="265"/>
      <c r="F87" s="185" t="s">
        <v>84</v>
      </c>
      <c r="G87" s="317"/>
      <c r="H87" s="186"/>
      <c r="I87" s="186"/>
      <c r="J87" s="186"/>
      <c r="K87" s="186"/>
      <c r="L87" s="186"/>
      <c r="M87" s="186"/>
      <c r="N87" s="186"/>
      <c r="O87" s="186"/>
      <c r="P87" s="186"/>
      <c r="Q87" s="186"/>
      <c r="R87" s="186"/>
      <c r="S87" s="186"/>
      <c r="T87" s="186"/>
      <c r="U87" s="186"/>
      <c r="V87" s="186"/>
      <c r="W87" s="186"/>
      <c r="X87" s="186"/>
      <c r="Y87" s="186"/>
      <c r="Z87" s="186"/>
      <c r="AA87" s="186"/>
      <c r="AB87" s="186"/>
      <c r="AC87" s="186"/>
      <c r="AD87" s="186"/>
      <c r="AE87" s="186"/>
      <c r="AF87" s="186"/>
      <c r="AG87" s="186"/>
      <c r="AH87" s="186"/>
      <c r="AI87" s="186"/>
      <c r="AJ87" s="186"/>
      <c r="AK87" s="186"/>
      <c r="AL87" s="186"/>
      <c r="AM87" s="186"/>
      <c r="AN87" s="186"/>
      <c r="AO87" s="186"/>
      <c r="AP87" s="186"/>
      <c r="AQ87" s="186"/>
      <c r="AR87" s="186"/>
      <c r="AS87" s="186"/>
      <c r="AT87" s="186"/>
      <c r="AU87" s="186"/>
      <c r="AV87" s="186"/>
      <c r="AW87" s="186"/>
      <c r="AX87" s="187"/>
      <c r="AZ87" s="265"/>
    </row>
    <row r="88" spans="2:52" x14ac:dyDescent="0.25">
      <c r="B88" s="265"/>
      <c r="F88" s="188" t="str">
        <f>F82</f>
        <v>Number of Accounts</v>
      </c>
      <c r="G88" s="318"/>
      <c r="H88" s="189">
        <f>COUNTIFS(Original_RS,$G50,H$12:H$45,"&gt;0")</f>
        <v>5</v>
      </c>
      <c r="I88" s="189">
        <f>COUNTIFS(Original_RS,$G50,I$12:I$45,"&gt;0")</f>
        <v>5</v>
      </c>
      <c r="J88" s="189">
        <f>COUNTIFS(Original_RS,$G50,J$12:J$45,"&gt;0")</f>
        <v>5</v>
      </c>
      <c r="K88" s="189">
        <f>AVERAGEIF(L88:AX88,"&gt;0")</f>
        <v>4.7222222222222223</v>
      </c>
      <c r="L88" s="189">
        <f t="shared" ref="L88:AX88" si="78">COUNTIFS(Original_RS,$G50,L$12:L$45,"&gt;0")</f>
        <v>5</v>
      </c>
      <c r="M88" s="189">
        <f t="shared" si="78"/>
        <v>5</v>
      </c>
      <c r="N88" s="189">
        <f t="shared" si="78"/>
        <v>5</v>
      </c>
      <c r="O88" s="189">
        <f t="shared" si="78"/>
        <v>5</v>
      </c>
      <c r="P88" s="189">
        <f t="shared" si="78"/>
        <v>5</v>
      </c>
      <c r="Q88" s="189">
        <f t="shared" si="78"/>
        <v>5</v>
      </c>
      <c r="R88" s="189">
        <f t="shared" si="78"/>
        <v>5</v>
      </c>
      <c r="S88" s="189">
        <f t="shared" si="78"/>
        <v>5</v>
      </c>
      <c r="T88" s="189">
        <f t="shared" si="78"/>
        <v>5</v>
      </c>
      <c r="U88" s="189">
        <f t="shared" si="78"/>
        <v>5</v>
      </c>
      <c r="V88" s="189">
        <f t="shared" si="78"/>
        <v>5</v>
      </c>
      <c r="W88" s="189">
        <f t="shared" si="78"/>
        <v>5</v>
      </c>
      <c r="X88" s="189">
        <f t="shared" si="78"/>
        <v>5</v>
      </c>
      <c r="Y88" s="189">
        <f t="shared" si="78"/>
        <v>5</v>
      </c>
      <c r="Z88" s="189">
        <f t="shared" si="78"/>
        <v>5</v>
      </c>
      <c r="AA88" s="189">
        <f t="shared" si="78"/>
        <v>5</v>
      </c>
      <c r="AB88" s="189">
        <f t="shared" si="78"/>
        <v>5</v>
      </c>
      <c r="AC88" s="189">
        <f t="shared" si="78"/>
        <v>5</v>
      </c>
      <c r="AD88" s="189">
        <f t="shared" si="78"/>
        <v>5</v>
      </c>
      <c r="AE88" s="189">
        <f t="shared" si="78"/>
        <v>5</v>
      </c>
      <c r="AF88" s="189">
        <f t="shared" si="78"/>
        <v>5</v>
      </c>
      <c r="AG88" s="189">
        <f t="shared" si="78"/>
        <v>4</v>
      </c>
      <c r="AH88" s="189">
        <f t="shared" si="78"/>
        <v>5</v>
      </c>
      <c r="AI88" s="189">
        <f t="shared" si="78"/>
        <v>5</v>
      </c>
      <c r="AJ88" s="189">
        <f t="shared" si="78"/>
        <v>4</v>
      </c>
      <c r="AK88" s="189">
        <f t="shared" si="78"/>
        <v>5</v>
      </c>
      <c r="AL88" s="189">
        <f t="shared" si="78"/>
        <v>5</v>
      </c>
      <c r="AM88" s="189">
        <f t="shared" si="78"/>
        <v>5</v>
      </c>
      <c r="AN88" s="189">
        <f t="shared" si="78"/>
        <v>4</v>
      </c>
      <c r="AO88" s="189">
        <f t="shared" si="78"/>
        <v>4</v>
      </c>
      <c r="AP88" s="189">
        <f t="shared" si="78"/>
        <v>4</v>
      </c>
      <c r="AQ88" s="189">
        <f t="shared" si="78"/>
        <v>4</v>
      </c>
      <c r="AR88" s="189">
        <f t="shared" si="78"/>
        <v>4</v>
      </c>
      <c r="AS88" s="189">
        <f t="shared" si="78"/>
        <v>4</v>
      </c>
      <c r="AT88" s="189">
        <f t="shared" si="78"/>
        <v>4</v>
      </c>
      <c r="AU88" s="189">
        <f t="shared" si="78"/>
        <v>4</v>
      </c>
      <c r="AV88" s="189">
        <f t="shared" si="78"/>
        <v>0</v>
      </c>
      <c r="AW88" s="189">
        <f t="shared" si="78"/>
        <v>0</v>
      </c>
      <c r="AX88" s="190">
        <f t="shared" si="78"/>
        <v>0</v>
      </c>
      <c r="AZ88" s="265"/>
    </row>
    <row r="89" spans="2:52" x14ac:dyDescent="0.25">
      <c r="B89" s="265"/>
      <c r="F89" s="188" t="str">
        <f t="shared" ref="F89:F92" si="79">F83</f>
        <v>Largest</v>
      </c>
      <c r="G89" s="319">
        <f>J89/8760</f>
        <v>187.26407766620446</v>
      </c>
      <c r="H89" s="191">
        <f>_xlfn.MAXIFS(H$12:H$45,H$12:H$45,"&gt;0",Original_RS,$G$50)</f>
        <v>471874.6875</v>
      </c>
      <c r="I89" s="191">
        <f>_xlfn.MAXIFS(I$12:I$45,I$12:I$45,"&gt;0",Original_RS,$G$50)</f>
        <v>1518006.5275142316</v>
      </c>
      <c r="J89" s="191">
        <f>_xlfn.MAXIFS(J$12:J$45,J$12:J$45,"&gt;0",Original_RS,$G$50)</f>
        <v>1640433.3203559511</v>
      </c>
      <c r="K89" s="191">
        <f>_xlfn.MAXIFS(K$12:K$45,K$12:K$45,"&gt;0",Original_RS,$G$50)/3</f>
        <v>1084631.3218390804</v>
      </c>
      <c r="L89" s="191">
        <f t="shared" ref="L89:AX89" si="80">_xlfn.MAXIFS(L$12:L$45,L$12:L$45,"&gt;0",Original_RS,$G$50)</f>
        <v>66999.137931034493</v>
      </c>
      <c r="M89" s="191">
        <f t="shared" si="80"/>
        <v>48155.862068965522</v>
      </c>
      <c r="N89" s="191">
        <f t="shared" si="80"/>
        <v>41821.657262277949</v>
      </c>
      <c r="O89" s="191">
        <f t="shared" si="80"/>
        <v>40841.827586206899</v>
      </c>
      <c r="P89" s="191">
        <f t="shared" si="80"/>
        <v>40779.5</v>
      </c>
      <c r="Q89" s="191">
        <f t="shared" si="80"/>
        <v>36677.78125</v>
      </c>
      <c r="R89" s="191">
        <f t="shared" si="80"/>
        <v>36277.615301724138</v>
      </c>
      <c r="S89" s="191">
        <f t="shared" si="80"/>
        <v>37280.236781609201</v>
      </c>
      <c r="T89" s="191">
        <f t="shared" si="80"/>
        <v>39262.415053763441</v>
      </c>
      <c r="U89" s="191">
        <f t="shared" si="80"/>
        <v>39776.918279569887</v>
      </c>
      <c r="V89" s="191">
        <f t="shared" si="80"/>
        <v>37889.927272727276</v>
      </c>
      <c r="W89" s="191">
        <f t="shared" si="80"/>
        <v>40949.793560606064</v>
      </c>
      <c r="X89" s="191">
        <f t="shared" si="80"/>
        <v>100577.88235294117</v>
      </c>
      <c r="Y89" s="191">
        <f t="shared" si="80"/>
        <v>116889.37931034483</v>
      </c>
      <c r="Z89" s="191">
        <f t="shared" si="80"/>
        <v>129233.45939933258</v>
      </c>
      <c r="AA89" s="191">
        <f t="shared" si="80"/>
        <v>125456.1957730812</v>
      </c>
      <c r="AB89" s="191">
        <f t="shared" si="80"/>
        <v>193300.6451612903</v>
      </c>
      <c r="AC89" s="191">
        <f t="shared" si="80"/>
        <v>187616.93548387097</v>
      </c>
      <c r="AD89" s="191">
        <f t="shared" si="80"/>
        <v>185098.79310344829</v>
      </c>
      <c r="AE89" s="191">
        <f t="shared" si="80"/>
        <v>172840.4004449388</v>
      </c>
      <c r="AF89" s="191">
        <f t="shared" si="80"/>
        <v>165316.12903225806</v>
      </c>
      <c r="AG89" s="191">
        <f t="shared" si="80"/>
        <v>159936.34408602151</v>
      </c>
      <c r="AH89" s="191">
        <f t="shared" si="80"/>
        <v>149840</v>
      </c>
      <c r="AI89" s="191">
        <f t="shared" si="80"/>
        <v>159760</v>
      </c>
      <c r="AJ89" s="191">
        <f t="shared" si="80"/>
        <v>166221.33333333331</v>
      </c>
      <c r="AK89" s="191">
        <f t="shared" si="80"/>
        <v>147452</v>
      </c>
      <c r="AL89" s="191">
        <f t="shared" si="80"/>
        <v>149180</v>
      </c>
      <c r="AM89" s="191">
        <f t="shared" si="80"/>
        <v>145489.6551724138</v>
      </c>
      <c r="AN89" s="191">
        <f t="shared" si="80"/>
        <v>150339.31034482759</v>
      </c>
      <c r="AO89" s="191">
        <f t="shared" si="80"/>
        <v>137025</v>
      </c>
      <c r="AP89" s="191">
        <f t="shared" si="80"/>
        <v>154080</v>
      </c>
      <c r="AQ89" s="191">
        <f t="shared" si="80"/>
        <v>147520</v>
      </c>
      <c r="AR89" s="191">
        <f t="shared" si="80"/>
        <v>134400</v>
      </c>
      <c r="AS89" s="191">
        <f t="shared" si="80"/>
        <v>147120</v>
      </c>
      <c r="AT89" s="191">
        <f t="shared" si="80"/>
        <v>138960</v>
      </c>
      <c r="AU89" s="191">
        <f t="shared" si="80"/>
        <v>138560</v>
      </c>
      <c r="AV89" s="191">
        <f t="shared" si="80"/>
        <v>0</v>
      </c>
      <c r="AW89" s="191">
        <f t="shared" si="80"/>
        <v>0</v>
      </c>
      <c r="AX89" s="192">
        <f t="shared" si="80"/>
        <v>0</v>
      </c>
      <c r="AZ89" s="265"/>
    </row>
    <row r="90" spans="2:52" x14ac:dyDescent="0.25">
      <c r="B90" s="265"/>
      <c r="F90" s="188" t="str">
        <f t="shared" si="79"/>
        <v>Average</v>
      </c>
      <c r="G90" s="319">
        <f>J90/8760</f>
        <v>87.69263545456765</v>
      </c>
      <c r="H90" s="191">
        <f>IF(OR(H$46=0,H88=0),0,IF(TRUE(),AVERAGEIFS(H$12:H$45,H$12:H$45,"&gt;0",Original_RS,$G$50),0))</f>
        <v>170593.28122832559</v>
      </c>
      <c r="I90" s="191">
        <f>IF(OR(I$46=0,I88=0),0,IF(TRUE(),AVERAGEIFS(I$12:I$45,I$12:I$45,"&gt;0",Original_RS,$G$50),0))</f>
        <v>771254.65359928668</v>
      </c>
      <c r="J90" s="191">
        <f>IF(OR(J$46=0,J88=0),0,IF(TRUE(),AVERAGEIFS(J$12:J$45,J$12:J$45,"&gt;0",Original_RS,$G$50),0))</f>
        <v>768187.48658201261</v>
      </c>
      <c r="K90" s="191">
        <f>IF(OR(K$46=0,K88=0),0,IF(TRUE(),AVERAGEIFS(K$12:K$45,K$12:K$45,"&gt;0",Original_RS,$G$50),0))/3</f>
        <v>570011.80713654158</v>
      </c>
      <c r="L90" s="191">
        <f t="shared" ref="L90:AX90" si="81">IF(OR(L$46=0,L88=0),0,IF(TRUE(),AVERAGEIFS(L$12:L$45,L$12:L$45,"&gt;0",Original_RS,$G$50),0))</f>
        <v>25524.819226750264</v>
      </c>
      <c r="M90" s="191">
        <f t="shared" si="81"/>
        <v>19393.645872518286</v>
      </c>
      <c r="N90" s="191">
        <f t="shared" si="81"/>
        <v>16404.696969696968</v>
      </c>
      <c r="O90" s="191">
        <f t="shared" si="81"/>
        <v>12456.912791991101</v>
      </c>
      <c r="P90" s="191">
        <f t="shared" si="81"/>
        <v>11785.307437893956</v>
      </c>
      <c r="Q90" s="191">
        <f t="shared" si="81"/>
        <v>10610.192916666669</v>
      </c>
      <c r="R90" s="191">
        <f t="shared" si="81"/>
        <v>10521.273838987763</v>
      </c>
      <c r="S90" s="191">
        <f t="shared" si="81"/>
        <v>10240.006577678903</v>
      </c>
      <c r="T90" s="191">
        <f t="shared" si="81"/>
        <v>10072.392361313139</v>
      </c>
      <c r="U90" s="191">
        <f t="shared" si="81"/>
        <v>10701.494305353526</v>
      </c>
      <c r="V90" s="191">
        <f t="shared" si="81"/>
        <v>11602.426557414756</v>
      </c>
      <c r="W90" s="191">
        <f t="shared" si="81"/>
        <v>21280.112372060259</v>
      </c>
      <c r="X90" s="191">
        <f t="shared" si="81"/>
        <v>38374.863046652303</v>
      </c>
      <c r="Y90" s="191">
        <f t="shared" si="81"/>
        <v>38124.134770114943</v>
      </c>
      <c r="Z90" s="191">
        <f t="shared" si="81"/>
        <v>41825.516017797556</v>
      </c>
      <c r="AA90" s="191">
        <f t="shared" si="81"/>
        <v>53417.515711059423</v>
      </c>
      <c r="AB90" s="191">
        <f t="shared" si="81"/>
        <v>77559.837105201063</v>
      </c>
      <c r="AC90" s="191">
        <f t="shared" si="81"/>
        <v>73930.478522263787</v>
      </c>
      <c r="AD90" s="191">
        <f t="shared" si="81"/>
        <v>75540.733511308863</v>
      </c>
      <c r="AE90" s="191">
        <f t="shared" si="81"/>
        <v>76334.090960133675</v>
      </c>
      <c r="AF90" s="191">
        <f t="shared" si="81"/>
        <v>74140.068550433629</v>
      </c>
      <c r="AG90" s="191">
        <f t="shared" si="81"/>
        <v>94189.667005584895</v>
      </c>
      <c r="AH90" s="191">
        <f t="shared" si="81"/>
        <v>72040.345631720425</v>
      </c>
      <c r="AI90" s="191">
        <f t="shared" si="81"/>
        <v>74615.336168132941</v>
      </c>
      <c r="AJ90" s="191">
        <f t="shared" si="81"/>
        <v>94324.206133919841</v>
      </c>
      <c r="AK90" s="191">
        <f t="shared" si="81"/>
        <v>67592.921428571426</v>
      </c>
      <c r="AL90" s="191">
        <f t="shared" si="81"/>
        <v>71661.178571428565</v>
      </c>
      <c r="AM90" s="191">
        <f t="shared" si="81"/>
        <v>52777.514444621003</v>
      </c>
      <c r="AN90" s="191">
        <f t="shared" si="81"/>
        <v>52017.8840378198</v>
      </c>
      <c r="AO90" s="191">
        <f t="shared" si="81"/>
        <v>67598</v>
      </c>
      <c r="AP90" s="191">
        <f t="shared" si="81"/>
        <v>89203.25</v>
      </c>
      <c r="AQ90" s="191">
        <f t="shared" si="81"/>
        <v>84339.75</v>
      </c>
      <c r="AR90" s="191">
        <f t="shared" si="81"/>
        <v>79372</v>
      </c>
      <c r="AS90" s="191">
        <f t="shared" si="81"/>
        <v>84683.25</v>
      </c>
      <c r="AT90" s="191">
        <f t="shared" si="81"/>
        <v>83430.75</v>
      </c>
      <c r="AU90" s="191">
        <f t="shared" si="81"/>
        <v>85225.75</v>
      </c>
      <c r="AV90" s="191">
        <f t="shared" si="81"/>
        <v>0</v>
      </c>
      <c r="AW90" s="191">
        <f t="shared" si="81"/>
        <v>0</v>
      </c>
      <c r="AX90" s="192">
        <f t="shared" si="81"/>
        <v>0</v>
      </c>
      <c r="AZ90" s="265"/>
    </row>
    <row r="91" spans="2:52" x14ac:dyDescent="0.25">
      <c r="B91" s="265"/>
      <c r="F91" s="188" t="str">
        <f t="shared" si="79"/>
        <v>Median</v>
      </c>
      <c r="G91" s="318"/>
      <c r="H91" s="191">
        <f t="array" ref="H91">IF(H88=0,0,MEDIAN(IF(Original_RS=$G$50,H$12:H$45)))</f>
        <v>95454.117647058825</v>
      </c>
      <c r="I91" s="191">
        <f t="array" ref="I91">IF(I88=0,0,MEDIAN(IF(Original_RS=$G$50,I$12:I$45)))</f>
        <v>437437.6470588235</v>
      </c>
      <c r="J91" s="191">
        <f t="array" ref="J91">IF(J88=0,0,MEDIAN(IF(Original_RS=$G$50,J$12:J$45)))</f>
        <v>432440</v>
      </c>
      <c r="K91" s="191">
        <f t="array" ref="K91">IF(K88=0,0,MEDIAN(IF(Original_RS=$G$50,K$12:K$45)))/3</f>
        <v>379025</v>
      </c>
      <c r="L91" s="191">
        <f t="array" ref="L91">IF(L88=0,0,MEDIAN(IF(Original_RS=$G$50,L$12:L$45)))</f>
        <v>16450</v>
      </c>
      <c r="M91" s="191">
        <f t="array" ref="M91">IF(M88=0,0,MEDIAN(IF(Original_RS=$G$50,M$12:M$45)))</f>
        <v>9378.9655172413804</v>
      </c>
      <c r="N91" s="191">
        <f t="array" ref="N91">IF(N88=0,0,MEDIAN(IF(Original_RS=$G$50,N$12:N$45)))</f>
        <v>7947.5862068965525</v>
      </c>
      <c r="O91" s="191">
        <f t="array" ref="O91">IF(O88=0,0,MEDIAN(IF(Original_RS=$G$50,O$12:O$45)))</f>
        <v>5925.5172413793107</v>
      </c>
      <c r="P91" s="191">
        <f t="array" ref="P91">IF(P88=0,0,MEDIAN(IF(Original_RS=$G$50,P$12:P$45)))</f>
        <v>4510.4310344827591</v>
      </c>
      <c r="Q91" s="191">
        <f t="array" ref="Q91">IF(Q88=0,0,MEDIAN(IF(Original_RS=$G$50,Q$12:Q$45)))</f>
        <v>3032.8333333333335</v>
      </c>
      <c r="R91" s="191">
        <f t="array" ref="R91">IF(R88=0,0,MEDIAN(IF(Original_RS=$G$50,R$12:R$45)))</f>
        <v>3000.1839080459768</v>
      </c>
      <c r="S91" s="191">
        <f t="array" ref="S91">IF(S88=0,0,MEDIAN(IF(Original_RS=$G$50,S$12:S$45)))</f>
        <v>2329.4827586206893</v>
      </c>
      <c r="T91" s="191">
        <f t="array" ref="T91">IF(T88=0,0,MEDIAN(IF(Original_RS=$G$50,T$12:T$45)))</f>
        <v>1609.6153846153848</v>
      </c>
      <c r="U91" s="191">
        <f t="array" ref="U91">IF(U88=0,0,MEDIAN(IF(Original_RS=$G$50,U$12:U$45)))</f>
        <v>1895.3846153846155</v>
      </c>
      <c r="V91" s="191">
        <f t="array" ref="V91">IF(V88=0,0,MEDIAN(IF(Original_RS=$G$50,V$12:V$45)))</f>
        <v>2230.30303030303</v>
      </c>
      <c r="W91" s="191">
        <f t="array" ref="W91">IF(W88=0,0,MEDIAN(IF(Original_RS=$G$50,W$12:W$45)))</f>
        <v>25984.288425047438</v>
      </c>
      <c r="X91" s="191">
        <f t="array" ref="X91">IF(X88=0,0,MEDIAN(IF(Original_RS=$G$50,X$12:X$45)))</f>
        <v>30095.578093306285</v>
      </c>
      <c r="Y91" s="191">
        <f t="array" ref="Y91">IF(Y88=0,0,MEDIAN(IF(Original_RS=$G$50,Y$12:Y$45)))</f>
        <v>24529.568965517239</v>
      </c>
      <c r="Z91" s="191">
        <f t="array" ref="Z91">IF(Z88=0,0,MEDIAN(IF(Original_RS=$G$50,Z$12:Z$45)))</f>
        <v>25093.879310344826</v>
      </c>
      <c r="AA91" s="191">
        <f t="array" ref="AA91">IF(AA88=0,0,MEDIAN(IF(Original_RS=$G$50,AA$12:AA$45)))</f>
        <v>38471.586206896551</v>
      </c>
      <c r="AB91" s="191">
        <f t="array" ref="AB91">IF(AB88=0,0,MEDIAN(IF(Original_RS=$G$50,AB$12:AB$45)))</f>
        <v>39562.644723092999</v>
      </c>
      <c r="AC91" s="191">
        <f t="array" ref="AC91">IF(AC88=0,0,MEDIAN(IF(Original_RS=$G$50,AC$12:AC$45)))</f>
        <v>34219.890909090915</v>
      </c>
      <c r="AD91" s="191">
        <f t="array" ref="AD91">IF(AD88=0,0,MEDIAN(IF(Original_RS=$G$50,AD$12:AD$45)))</f>
        <v>37518.528735632186</v>
      </c>
      <c r="AE91" s="191">
        <f t="array" ref="AE91">IF(AE88=0,0,MEDIAN(IF(Original_RS=$G$50,AE$12:AE$45)))</f>
        <v>45984.743991640542</v>
      </c>
      <c r="AF91" s="191">
        <f t="array" ref="AF91">IF(AF88=0,0,MEDIAN(IF(Original_RS=$G$50,AF$12:AF$45)))</f>
        <v>45311.807732497386</v>
      </c>
      <c r="AG91" s="191">
        <f t="array" ref="AG91">IF(AG88=0,0,MEDIAN(IF(Original_RS=$G$50,AG$12:AG$45)))</f>
        <v>49287.586206896551</v>
      </c>
      <c r="AH91" s="191">
        <f t="array" ref="AH91">IF(AH88=0,0,MEDIAN(IF(Original_RS=$G$50,AH$12:AH$45)))</f>
        <v>49285</v>
      </c>
      <c r="AI91" s="191">
        <f t="array" ref="AI91">IF(AI88=0,0,MEDIAN(IF(Original_RS=$G$50,AI$12:AI$45)))</f>
        <v>49975</v>
      </c>
      <c r="AJ91" s="191">
        <f t="array" ref="AJ91">IF(AJ88=0,0,MEDIAN(IF(Original_RS=$G$50,AJ$12:AJ$45)))</f>
        <v>49427.5</v>
      </c>
      <c r="AK91" s="191">
        <f t="array" ref="AK91">IF(AK88=0,0,MEDIAN(IF(Original_RS=$G$50,AK$12:AK$45)))</f>
        <v>46052.5</v>
      </c>
      <c r="AL91" s="191">
        <f t="array" ref="AL91">IF(AL88=0,0,MEDIAN(IF(Original_RS=$G$50,AL$12:AL$45)))</f>
        <v>44680</v>
      </c>
      <c r="AM91" s="191">
        <f t="array" ref="AM91">IF(AM88=0,0,MEDIAN(IF(Original_RS=$G$50,AM$12:AM$45)))</f>
        <v>31896.774193548386</v>
      </c>
      <c r="AN91" s="191">
        <f t="array" ref="AN91">IF(AN88=0,0,MEDIAN(IF(Original_RS=$G$50,AN$12:AN$45)))</f>
        <v>25949</v>
      </c>
      <c r="AO91" s="191">
        <f t="array" ref="AO91">IF(AO88=0,0,MEDIAN(IF(Original_RS=$G$50,AO$12:AO$45)))</f>
        <v>54980</v>
      </c>
      <c r="AP91" s="191">
        <f t="array" ref="AP91">IF(AP88=0,0,MEDIAN(IF(Original_RS=$G$50,AP$12:AP$45)))</f>
        <v>88580</v>
      </c>
      <c r="AQ91" s="191">
        <f t="array" ref="AQ91">IF(AQ88=0,0,MEDIAN(IF(Original_RS=$G$50,AQ$12:AQ$45)))</f>
        <v>82100</v>
      </c>
      <c r="AR91" s="191">
        <f t="array" ref="AR91">IF(AR88=0,0,MEDIAN(IF(Original_RS=$G$50,AR$12:AR$45)))</f>
        <v>79900</v>
      </c>
      <c r="AS91" s="191">
        <f t="array" ref="AS91">IF(AS88=0,0,MEDIAN(IF(Original_RS=$G$50,AS$12:AS$45)))</f>
        <v>83140</v>
      </c>
      <c r="AT91" s="191">
        <f t="array" ref="AT91">IF(AT88=0,0,MEDIAN(IF(Original_RS=$G$50,AT$12:AT$45)))</f>
        <v>84600</v>
      </c>
      <c r="AU91" s="191">
        <f t="array" ref="AU91">IF(AU88=0,0,MEDIAN(IF(Original_RS=$G$50,AU$12:AU$45)))</f>
        <v>88320</v>
      </c>
      <c r="AV91" s="191">
        <f t="array" ref="AV91">IF(AV88=0,0,MEDIAN(IF(Original_RS=$G$50,AV$12:AV$45)))</f>
        <v>0</v>
      </c>
      <c r="AW91" s="191">
        <f t="array" ref="AW91">IF(AW88=0,0,MEDIAN(IF(Original_RS=$G$50,AW$12:AW$45)))</f>
        <v>0</v>
      </c>
      <c r="AX91" s="192">
        <f t="array" ref="AX91">IF(AX88=0,0,MEDIAN(IF(Original_RS=$G$50,AX$12:AX$45)))</f>
        <v>0</v>
      </c>
      <c r="AZ91" s="265"/>
    </row>
    <row r="92" spans="2:52" x14ac:dyDescent="0.25">
      <c r="B92" s="265"/>
      <c r="F92" s="193" t="str">
        <f t="shared" si="79"/>
        <v>Minimum</v>
      </c>
      <c r="G92" s="320"/>
      <c r="H92" s="194">
        <f>_xlfn.MINIFS(H$12:H$45,H$12:H$45,"&gt;0",Original_RS,$G$50)</f>
        <v>6208</v>
      </c>
      <c r="I92" s="194">
        <f>_xlfn.MINIFS(I$12:I$45,I$12:I$45,"&gt;0",Original_RS,$G$50)</f>
        <v>9680.0967741935456</v>
      </c>
      <c r="J92" s="194">
        <f>_xlfn.MINIFS(J$12:J$45,J$12:J$45,"&gt;0",Original_RS,$G$50)</f>
        <v>91135.779220779208</v>
      </c>
      <c r="K92" s="194">
        <f>_xlfn.MINIFS(K$12:K$45,K$12:K$45,"&gt;0",Original_RS,$G$50)/3</f>
        <v>83329.114942528729</v>
      </c>
      <c r="L92" s="194">
        <f t="shared" ref="L92:AX92" si="82">_xlfn.MINIFS(L$12:L$45,L$12:L$45,"&gt;0",Original_RS,$G$50)</f>
        <v>467.31034482758616</v>
      </c>
      <c r="M92" s="194">
        <f t="shared" si="82"/>
        <v>400.68965517241378</v>
      </c>
      <c r="N92" s="194">
        <f t="shared" si="82"/>
        <v>451.72413793103448</v>
      </c>
      <c r="O92" s="194">
        <f t="shared" si="82"/>
        <v>380.68965517241378</v>
      </c>
      <c r="P92" s="194">
        <f t="shared" si="82"/>
        <v>327.58620689655174</v>
      </c>
      <c r="Q92" s="194">
        <f t="shared" si="82"/>
        <v>308</v>
      </c>
      <c r="R92" s="194">
        <f t="shared" si="82"/>
        <v>335.44827586206895</v>
      </c>
      <c r="S92" s="194">
        <f t="shared" si="82"/>
        <v>326.55172413793105</v>
      </c>
      <c r="T92" s="194">
        <f t="shared" si="82"/>
        <v>385.17241379310349</v>
      </c>
      <c r="U92" s="194">
        <f t="shared" si="82"/>
        <v>544.82758620689651</v>
      </c>
      <c r="V92" s="194">
        <f t="shared" si="82"/>
        <v>1189.090909090909</v>
      </c>
      <c r="W92" s="194">
        <f t="shared" si="82"/>
        <v>1090.909090909091</v>
      </c>
      <c r="X92" s="194">
        <f t="shared" si="82"/>
        <v>2610.9717741935483</v>
      </c>
      <c r="Y92" s="194">
        <f t="shared" si="82"/>
        <v>1745.9870689655172</v>
      </c>
      <c r="Z92" s="194">
        <f t="shared" si="82"/>
        <v>1937.7586206896551</v>
      </c>
      <c r="AA92" s="194">
        <f t="shared" si="82"/>
        <v>1647.8944618599792</v>
      </c>
      <c r="AB92" s="194">
        <f t="shared" si="82"/>
        <v>886.82967607105536</v>
      </c>
      <c r="AC92" s="194">
        <f t="shared" si="82"/>
        <v>102.98850574712642</v>
      </c>
      <c r="AD92" s="194">
        <f t="shared" si="82"/>
        <v>102.79569892473118</v>
      </c>
      <c r="AE92" s="194">
        <f t="shared" si="82"/>
        <v>130.77572964669739</v>
      </c>
      <c r="AF92" s="194">
        <f t="shared" si="82"/>
        <v>150.0952380952381</v>
      </c>
      <c r="AG92" s="194">
        <f t="shared" si="82"/>
        <v>30539.854525862069</v>
      </c>
      <c r="AH92" s="194">
        <f t="shared" si="82"/>
        <v>36.4</v>
      </c>
      <c r="AI92" s="194">
        <f t="shared" si="82"/>
        <v>327.59999999999997</v>
      </c>
      <c r="AJ92" s="194">
        <f t="shared" si="82"/>
        <v>27288.636363636364</v>
      </c>
      <c r="AK92" s="194">
        <f t="shared" si="82"/>
        <v>103.82142857142857</v>
      </c>
      <c r="AL92" s="194">
        <f t="shared" si="82"/>
        <v>4972.1785714285716</v>
      </c>
      <c r="AM92" s="194">
        <f t="shared" si="82"/>
        <v>20997.142857142859</v>
      </c>
      <c r="AN92" s="194">
        <f t="shared" si="82"/>
        <v>2160</v>
      </c>
      <c r="AO92" s="194">
        <f t="shared" si="82"/>
        <v>23407</v>
      </c>
      <c r="AP92" s="194">
        <f t="shared" si="82"/>
        <v>25573</v>
      </c>
      <c r="AQ92" s="194">
        <f t="shared" si="82"/>
        <v>25639</v>
      </c>
      <c r="AR92" s="194">
        <f t="shared" si="82"/>
        <v>23288</v>
      </c>
      <c r="AS92" s="194">
        <f t="shared" si="82"/>
        <v>25333</v>
      </c>
      <c r="AT92" s="194">
        <f t="shared" si="82"/>
        <v>25563</v>
      </c>
      <c r="AU92" s="194">
        <f t="shared" si="82"/>
        <v>25703</v>
      </c>
      <c r="AV92" s="194">
        <f t="shared" si="82"/>
        <v>0</v>
      </c>
      <c r="AW92" s="194">
        <f t="shared" si="82"/>
        <v>0</v>
      </c>
      <c r="AX92" s="195">
        <f t="shared" si="82"/>
        <v>0</v>
      </c>
      <c r="AZ92" s="265"/>
    </row>
    <row r="93" spans="2:52" x14ac:dyDescent="0.25">
      <c r="B93" s="265"/>
      <c r="F93" s="185" t="s">
        <v>85</v>
      </c>
      <c r="G93" s="317"/>
      <c r="H93" s="186"/>
      <c r="I93" s="186"/>
      <c r="J93" s="186"/>
      <c r="K93" s="186"/>
      <c r="L93" s="186"/>
      <c r="M93" s="186"/>
      <c r="N93" s="186"/>
      <c r="O93" s="186"/>
      <c r="P93" s="186"/>
      <c r="Q93" s="186"/>
      <c r="R93" s="186"/>
      <c r="S93" s="186"/>
      <c r="T93" s="186"/>
      <c r="U93" s="186"/>
      <c r="V93" s="186"/>
      <c r="W93" s="186"/>
      <c r="X93" s="186"/>
      <c r="Y93" s="186"/>
      <c r="Z93" s="186"/>
      <c r="AA93" s="186"/>
      <c r="AB93" s="186"/>
      <c r="AC93" s="186"/>
      <c r="AD93" s="186"/>
      <c r="AE93" s="186"/>
      <c r="AF93" s="186"/>
      <c r="AG93" s="186"/>
      <c r="AH93" s="186"/>
      <c r="AI93" s="186"/>
      <c r="AJ93" s="186"/>
      <c r="AK93" s="186"/>
      <c r="AL93" s="186"/>
      <c r="AM93" s="186"/>
      <c r="AN93" s="186"/>
      <c r="AO93" s="186"/>
      <c r="AP93" s="186"/>
      <c r="AQ93" s="186"/>
      <c r="AR93" s="186"/>
      <c r="AS93" s="186"/>
      <c r="AT93" s="186"/>
      <c r="AU93" s="186"/>
      <c r="AV93" s="186"/>
      <c r="AW93" s="186"/>
      <c r="AX93" s="187"/>
      <c r="AZ93" s="265"/>
    </row>
    <row r="94" spans="2:52" x14ac:dyDescent="0.25">
      <c r="B94" s="265"/>
      <c r="F94" s="188" t="str">
        <f>F88</f>
        <v>Number of Accounts</v>
      </c>
      <c r="G94" s="318"/>
      <c r="H94" s="189">
        <f>COUNTIFS(Original_RS,$G51,H$12:H$45,"&gt;0")</f>
        <v>18</v>
      </c>
      <c r="I94" s="189">
        <f>COUNTIFS(Original_RS,$G51,I$12:I$45,"&gt;0")</f>
        <v>24</v>
      </c>
      <c r="J94" s="189">
        <f>COUNTIFS(Original_RS,$G51,J$12:J$45,"&gt;0")</f>
        <v>25</v>
      </c>
      <c r="K94" s="189">
        <f>AVERAGEIF(L94:AX94,"&gt;0")</f>
        <v>20.444444444444443</v>
      </c>
      <c r="L94" s="189">
        <f t="shared" ref="L94:AX94" si="83">COUNTIFS(Original_RS,$G51,L$12:L$45,"&gt;0")</f>
        <v>13</v>
      </c>
      <c r="M94" s="189">
        <f t="shared" si="83"/>
        <v>13</v>
      </c>
      <c r="N94" s="189">
        <f t="shared" si="83"/>
        <v>14</v>
      </c>
      <c r="O94" s="189">
        <f t="shared" si="83"/>
        <v>15</v>
      </c>
      <c r="P94" s="189">
        <f t="shared" si="83"/>
        <v>15</v>
      </c>
      <c r="Q94" s="189">
        <f t="shared" si="83"/>
        <v>15</v>
      </c>
      <c r="R94" s="189">
        <f t="shared" si="83"/>
        <v>15</v>
      </c>
      <c r="S94" s="189">
        <f t="shared" si="83"/>
        <v>15</v>
      </c>
      <c r="T94" s="189">
        <f t="shared" si="83"/>
        <v>15</v>
      </c>
      <c r="U94" s="189">
        <f t="shared" si="83"/>
        <v>15</v>
      </c>
      <c r="V94" s="189">
        <f t="shared" si="83"/>
        <v>16</v>
      </c>
      <c r="W94" s="189">
        <f t="shared" si="83"/>
        <v>18</v>
      </c>
      <c r="X94" s="189">
        <f t="shared" si="83"/>
        <v>21</v>
      </c>
      <c r="Y94" s="189">
        <f t="shared" si="83"/>
        <v>22</v>
      </c>
      <c r="Z94" s="189">
        <f t="shared" si="83"/>
        <v>22</v>
      </c>
      <c r="AA94" s="189">
        <f t="shared" si="83"/>
        <v>23</v>
      </c>
      <c r="AB94" s="189">
        <f t="shared" si="83"/>
        <v>23</v>
      </c>
      <c r="AC94" s="189">
        <f t="shared" si="83"/>
        <v>23</v>
      </c>
      <c r="AD94" s="189">
        <f t="shared" si="83"/>
        <v>24</v>
      </c>
      <c r="AE94" s="189">
        <f t="shared" si="83"/>
        <v>24</v>
      </c>
      <c r="AF94" s="189">
        <f t="shared" si="83"/>
        <v>24</v>
      </c>
      <c r="AG94" s="189">
        <f t="shared" si="83"/>
        <v>23</v>
      </c>
      <c r="AH94" s="189">
        <f t="shared" si="83"/>
        <v>24</v>
      </c>
      <c r="AI94" s="189">
        <f t="shared" si="83"/>
        <v>24</v>
      </c>
      <c r="AJ94" s="189">
        <f t="shared" si="83"/>
        <v>24</v>
      </c>
      <c r="AK94" s="189">
        <f t="shared" si="83"/>
        <v>19</v>
      </c>
      <c r="AL94" s="189">
        <f t="shared" si="83"/>
        <v>21</v>
      </c>
      <c r="AM94" s="189">
        <f t="shared" si="83"/>
        <v>24</v>
      </c>
      <c r="AN94" s="189">
        <f t="shared" si="83"/>
        <v>23</v>
      </c>
      <c r="AO94" s="189">
        <f t="shared" si="83"/>
        <v>22</v>
      </c>
      <c r="AP94" s="189">
        <f t="shared" si="83"/>
        <v>24</v>
      </c>
      <c r="AQ94" s="189">
        <f t="shared" si="83"/>
        <v>25</v>
      </c>
      <c r="AR94" s="189">
        <f t="shared" si="83"/>
        <v>23</v>
      </c>
      <c r="AS94" s="189">
        <f t="shared" si="83"/>
        <v>25</v>
      </c>
      <c r="AT94" s="189">
        <f t="shared" si="83"/>
        <v>25</v>
      </c>
      <c r="AU94" s="189">
        <f t="shared" si="83"/>
        <v>25</v>
      </c>
      <c r="AV94" s="189">
        <f t="shared" si="83"/>
        <v>0</v>
      </c>
      <c r="AW94" s="189">
        <f t="shared" si="83"/>
        <v>0</v>
      </c>
      <c r="AX94" s="190">
        <f t="shared" si="83"/>
        <v>0</v>
      </c>
      <c r="AZ94" s="265"/>
    </row>
    <row r="95" spans="2:52" x14ac:dyDescent="0.25">
      <c r="B95" s="265"/>
      <c r="F95" s="188" t="str">
        <f t="shared" ref="F95:F98" si="84">F89</f>
        <v>Largest</v>
      </c>
      <c r="G95" s="319">
        <f>J95/8760</f>
        <v>3077.4060980998679</v>
      </c>
      <c r="H95" s="191">
        <f>_xlfn.MAXIFS(H$12:H$45,H$12:H$45,"&gt;0",Original_RS,$G$51)</f>
        <v>27798250</v>
      </c>
      <c r="I95" s="191">
        <f>_xlfn.MAXIFS(I$12:I$45,I$12:I$45,"&gt;0",Original_RS,$G$51)</f>
        <v>30519322.580645166</v>
      </c>
      <c r="J95" s="191">
        <f>_xlfn.MAXIFS(J$12:J$45,J$12:J$45,"&gt;0",Original_RS,$G$51)</f>
        <v>26958077.419354841</v>
      </c>
      <c r="K95" s="191">
        <f>_xlfn.MAXIFS(K$12:K$45,K$12:K$45,"&gt;0",Original_RS,$G$51)/3</f>
        <v>28425216.666666668</v>
      </c>
      <c r="L95" s="191">
        <f t="shared" ref="L95:AX95" si="85">_xlfn.MAXIFS(L$12:L$45,L$12:L$45,"&gt;0",Original_RS,$G$51)</f>
        <v>2598146.5517241377</v>
      </c>
      <c r="M95" s="191">
        <f t="shared" si="85"/>
        <v>2059603.448275862</v>
      </c>
      <c r="N95" s="191">
        <f t="shared" si="85"/>
        <v>1911706.8965517241</v>
      </c>
      <c r="O95" s="191">
        <f t="shared" si="85"/>
        <v>1802664.0711902115</v>
      </c>
      <c r="P95" s="191">
        <f t="shared" si="85"/>
        <v>1990362.365591398</v>
      </c>
      <c r="Q95" s="191">
        <f t="shared" si="85"/>
        <v>2032933.3333333333</v>
      </c>
      <c r="R95" s="191">
        <f t="shared" si="85"/>
        <v>2244833.333333333</v>
      </c>
      <c r="S95" s="191">
        <f t="shared" si="85"/>
        <v>2331600</v>
      </c>
      <c r="T95" s="191">
        <f t="shared" si="85"/>
        <v>2522537.931034483</v>
      </c>
      <c r="U95" s="191">
        <f t="shared" si="85"/>
        <v>2791362.068965517</v>
      </c>
      <c r="V95" s="191">
        <f t="shared" si="85"/>
        <v>2703241.935483871</v>
      </c>
      <c r="W95" s="191">
        <f t="shared" si="85"/>
        <v>2809258.064516129</v>
      </c>
      <c r="X95" s="191">
        <f t="shared" si="85"/>
        <v>2815310.3448275863</v>
      </c>
      <c r="Y95" s="191">
        <f t="shared" si="85"/>
        <v>2509877.1551724141</v>
      </c>
      <c r="Z95" s="191">
        <f t="shared" si="85"/>
        <v>2725019.3965517245</v>
      </c>
      <c r="AA95" s="191">
        <f t="shared" si="85"/>
        <v>2616965.5172413792</v>
      </c>
      <c r="AB95" s="191">
        <f t="shared" si="85"/>
        <v>2724282.1316614421</v>
      </c>
      <c r="AC95" s="191">
        <f t="shared" si="85"/>
        <v>2578712.1212121211</v>
      </c>
      <c r="AD95" s="191">
        <f t="shared" si="85"/>
        <v>2515488.5057471264</v>
      </c>
      <c r="AE95" s="191">
        <f t="shared" si="85"/>
        <v>2455981.1912225708</v>
      </c>
      <c r="AF95" s="191">
        <f t="shared" si="85"/>
        <v>2457673.9811912226</v>
      </c>
      <c r="AG95" s="191">
        <f t="shared" si="85"/>
        <v>2491689.6551724137</v>
      </c>
      <c r="AH95" s="191">
        <f t="shared" si="85"/>
        <v>2264218.75</v>
      </c>
      <c r="AI95" s="191">
        <f t="shared" si="85"/>
        <v>2399733.4310850441</v>
      </c>
      <c r="AJ95" s="191">
        <f t="shared" si="85"/>
        <v>2316364.9193548383</v>
      </c>
      <c r="AK95" s="191">
        <f t="shared" si="85"/>
        <v>2062098.2142857143</v>
      </c>
      <c r="AL95" s="191">
        <f t="shared" si="85"/>
        <v>2408414.2857142859</v>
      </c>
      <c r="AM95" s="191">
        <f t="shared" si="85"/>
        <v>2385600</v>
      </c>
      <c r="AN95" s="191">
        <f t="shared" si="85"/>
        <v>2441600</v>
      </c>
      <c r="AO95" s="191">
        <f t="shared" si="85"/>
        <v>2364600</v>
      </c>
      <c r="AP95" s="191">
        <f t="shared" si="85"/>
        <v>2496900</v>
      </c>
      <c r="AQ95" s="191">
        <f t="shared" si="85"/>
        <v>2492700</v>
      </c>
      <c r="AR95" s="191">
        <f t="shared" si="85"/>
        <v>2394000</v>
      </c>
      <c r="AS95" s="191">
        <f t="shared" si="85"/>
        <v>2419200</v>
      </c>
      <c r="AT95" s="191">
        <f t="shared" si="85"/>
        <v>2259600</v>
      </c>
      <c r="AU95" s="191">
        <f t="shared" si="85"/>
        <v>2326800</v>
      </c>
      <c r="AV95" s="191">
        <f t="shared" si="85"/>
        <v>0</v>
      </c>
      <c r="AW95" s="191">
        <f t="shared" si="85"/>
        <v>0</v>
      </c>
      <c r="AX95" s="192">
        <f t="shared" si="85"/>
        <v>0</v>
      </c>
      <c r="AZ95" s="265"/>
    </row>
    <row r="96" spans="2:52" x14ac:dyDescent="0.25">
      <c r="B96" s="265"/>
      <c r="F96" s="188" t="str">
        <f t="shared" si="84"/>
        <v>Average</v>
      </c>
      <c r="G96" s="319">
        <f>J96/8760</f>
        <v>880.92307332387054</v>
      </c>
      <c r="H96" s="191">
        <f>IF(OR(H$46=0,H94=0),0,IF(TRUE(),AVERAGEIFS(H$12:H$45,H$12:H$45,"&gt;0",Original_RS,$G$51),0))</f>
        <v>4962857.4556499664</v>
      </c>
      <c r="I96" s="191">
        <f>IF(OR(I$46=0,I94=0),0,IF(TRUE(),AVERAGEIFS(I$12:I$45,I$12:I$45,"&gt;0",Original_RS,$G$51),0))</f>
        <v>8279589.4994058246</v>
      </c>
      <c r="J96" s="191">
        <f>IF(OR(J$46=0,J94=0),0,IF(TRUE(),AVERAGEIFS(J$12:J$45,J$12:J$45,"&gt;0",Original_RS,$G$51),0))</f>
        <v>7716886.1223171055</v>
      </c>
      <c r="K96" s="191">
        <f>IF(OR(K$46=0,K94=0),0,IF(TRUE(),AVERAGEIFS(K$12:K$45,K$12:K$45,"&gt;0",Original_RS,$G$51),0))/3</f>
        <v>6412849.8032715572</v>
      </c>
      <c r="L96" s="191">
        <f t="shared" ref="L96:AX96" si="86">IF(OR(L$46=0,L94=0),0,IF(TRUE(),AVERAGEIFS(L$12:L$45,L$12:L$45,"&gt;0",Original_RS,$G$51),0))</f>
        <v>527966.66578249331</v>
      </c>
      <c r="M96" s="191">
        <f t="shared" si="86"/>
        <v>442014.05923961097</v>
      </c>
      <c r="N96" s="191">
        <f t="shared" si="86"/>
        <v>451230.99910693103</v>
      </c>
      <c r="O96" s="191">
        <f t="shared" si="86"/>
        <v>394215.22531207517</v>
      </c>
      <c r="P96" s="191">
        <f t="shared" si="86"/>
        <v>420066.25120504259</v>
      </c>
      <c r="Q96" s="191">
        <f t="shared" si="86"/>
        <v>439313.25919540232</v>
      </c>
      <c r="R96" s="191">
        <f t="shared" si="86"/>
        <v>481678.2548016315</v>
      </c>
      <c r="S96" s="191">
        <f t="shared" si="86"/>
        <v>498899.76176054205</v>
      </c>
      <c r="T96" s="191">
        <f t="shared" si="86"/>
        <v>531888.01565596065</v>
      </c>
      <c r="U96" s="191">
        <f t="shared" si="86"/>
        <v>587208.23453328281</v>
      </c>
      <c r="V96" s="191">
        <f t="shared" si="86"/>
        <v>565229.42839064042</v>
      </c>
      <c r="W96" s="191">
        <f t="shared" si="86"/>
        <v>614541.38320587273</v>
      </c>
      <c r="X96" s="191">
        <f t="shared" si="86"/>
        <v>655531.49337477935</v>
      </c>
      <c r="Y96" s="191">
        <f t="shared" si="86"/>
        <v>659712.66784221516</v>
      </c>
      <c r="Z96" s="191">
        <f t="shared" si="86"/>
        <v>772361.78525381733</v>
      </c>
      <c r="AA96" s="191">
        <f t="shared" si="86"/>
        <v>724176.79740774783</v>
      </c>
      <c r="AB96" s="191">
        <f t="shared" si="86"/>
        <v>767702.57680543873</v>
      </c>
      <c r="AC96" s="191">
        <f t="shared" si="86"/>
        <v>755374.38798031339</v>
      </c>
      <c r="AD96" s="191">
        <f t="shared" si="86"/>
        <v>754985.38520792604</v>
      </c>
      <c r="AE96" s="191">
        <f t="shared" si="86"/>
        <v>706092.12006044865</v>
      </c>
      <c r="AF96" s="191">
        <f t="shared" si="86"/>
        <v>685233.14103212312</v>
      </c>
      <c r="AG96" s="191">
        <f t="shared" si="86"/>
        <v>724941.60159839434</v>
      </c>
      <c r="AH96" s="191">
        <f t="shared" si="86"/>
        <v>669645.71865765564</v>
      </c>
      <c r="AI96" s="191">
        <f t="shared" si="86"/>
        <v>728954.27210614213</v>
      </c>
      <c r="AJ96" s="191">
        <f t="shared" si="86"/>
        <v>578779.41304521856</v>
      </c>
      <c r="AK96" s="191">
        <f t="shared" si="86"/>
        <v>522417.77019718377</v>
      </c>
      <c r="AL96" s="191">
        <f t="shared" si="86"/>
        <v>515370.48459856259</v>
      </c>
      <c r="AM96" s="191">
        <f t="shared" si="86"/>
        <v>558788.27411002049</v>
      </c>
      <c r="AN96" s="191">
        <f t="shared" si="86"/>
        <v>778922.6644370124</v>
      </c>
      <c r="AO96" s="191">
        <f t="shared" si="86"/>
        <v>811825.91743679519</v>
      </c>
      <c r="AP96" s="191">
        <f t="shared" si="86"/>
        <v>820482.82481885923</v>
      </c>
      <c r="AQ96" s="191">
        <f t="shared" si="86"/>
        <v>760135.28989041504</v>
      </c>
      <c r="AR96" s="191">
        <f t="shared" si="86"/>
        <v>754328.76377479476</v>
      </c>
      <c r="AS96" s="191">
        <f t="shared" si="86"/>
        <v>715353.18463901698</v>
      </c>
      <c r="AT96" s="191">
        <f t="shared" si="86"/>
        <v>698270.52903225808</v>
      </c>
      <c r="AU96" s="191">
        <f t="shared" si="86"/>
        <v>708451.79354838701</v>
      </c>
      <c r="AV96" s="191">
        <f t="shared" si="86"/>
        <v>0</v>
      </c>
      <c r="AW96" s="191">
        <f t="shared" si="86"/>
        <v>0</v>
      </c>
      <c r="AX96" s="192">
        <f t="shared" si="86"/>
        <v>0</v>
      </c>
      <c r="AZ96" s="265"/>
    </row>
    <row r="97" spans="2:52" x14ac:dyDescent="0.25">
      <c r="B97" s="265"/>
      <c r="F97" s="188" t="str">
        <f t="shared" si="84"/>
        <v>Median</v>
      </c>
      <c r="G97" s="318"/>
      <c r="H97" s="191">
        <f t="array" ref="H97">IF(H94=0,0,MEDIAN(IF(Original_RS=$G$51,H$12:H$45)))</f>
        <v>1396880</v>
      </c>
      <c r="I97" s="191">
        <f t="array" ref="I97">IF(I94=0,0,MEDIAN(IF(Original_RS=$G$51,I$12:I$45)))</f>
        <v>5064549.8292220114</v>
      </c>
      <c r="J97" s="191">
        <f t="array" ref="J97">IF(J94=0,0,MEDIAN(IF(Original_RS=$G$51,J$12:J$45)))</f>
        <v>5188451.6129032262</v>
      </c>
      <c r="K97" s="191">
        <f t="array" ref="K97">IF(K94=0,0,MEDIAN(IF(Original_RS=$G$51,K$12:K$45)))/3</f>
        <v>4899014.6031746035</v>
      </c>
      <c r="L97" s="191">
        <f t="array" ref="L97">IF(L94=0,0,MEDIAN(IF(Original_RS=$G$51,L$12:L$45)))</f>
        <v>270607.75862068968</v>
      </c>
      <c r="M97" s="191">
        <f t="array" ref="M97">IF(M94=0,0,MEDIAN(IF(Original_RS=$G$51,M$12:M$45)))</f>
        <v>248677.24137931035</v>
      </c>
      <c r="N97" s="191">
        <f t="array" ref="N97">IF(N94=0,0,MEDIAN(IF(Original_RS=$G$51,N$12:N$45)))</f>
        <v>286666.57471264369</v>
      </c>
      <c r="O97" s="191">
        <f t="array" ref="O97">IF(O94=0,0,MEDIAN(IF(Original_RS=$G$51,O$12:O$45)))</f>
        <v>198365.4727474972</v>
      </c>
      <c r="P97" s="191">
        <f t="array" ref="P97">IF(P94=0,0,MEDIAN(IF(Original_RS=$G$51,P$12:P$45)))</f>
        <v>204523.35483870967</v>
      </c>
      <c r="Q97" s="191">
        <f t="array" ref="Q97">IF(Q94=0,0,MEDIAN(IF(Original_RS=$G$51,Q$12:Q$45)))</f>
        <v>230600</v>
      </c>
      <c r="R97" s="191">
        <f t="array" ref="R97">IF(R94=0,0,MEDIAN(IF(Original_RS=$G$51,R$12:R$45)))</f>
        <v>286958.70967741939</v>
      </c>
      <c r="S97" s="191">
        <f t="array" ref="S97">IF(S94=0,0,MEDIAN(IF(Original_RS=$G$51,S$12:S$45)))</f>
        <v>294461.29032258067</v>
      </c>
      <c r="T97" s="191">
        <f t="array" ref="T97">IF(T94=0,0,MEDIAN(IF(Original_RS=$G$51,T$12:T$45)))</f>
        <v>324094.71264367813</v>
      </c>
      <c r="U97" s="191">
        <f t="array" ref="U97">IF(U94=0,0,MEDIAN(IF(Original_RS=$G$51,U$12:U$45)))</f>
        <v>422902.06896551722</v>
      </c>
      <c r="V97" s="191">
        <f t="array" ref="V97">IF(V94=0,0,MEDIAN(IF(Original_RS=$G$51,V$12:V$45)))</f>
        <v>411665.20316691749</v>
      </c>
      <c r="W97" s="191">
        <f t="array" ref="W97">IF(W94=0,0,MEDIAN(IF(Original_RS=$G$51,W$12:W$45)))</f>
        <v>487419.56356736243</v>
      </c>
      <c r="X97" s="191">
        <f t="array" ref="X97">IF(X94=0,0,MEDIAN(IF(Original_RS=$G$51,X$12:X$45)))</f>
        <v>460948.31643002032</v>
      </c>
      <c r="Y97" s="191">
        <f t="array" ref="Y97">IF(Y94=0,0,MEDIAN(IF(Original_RS=$G$51,Y$12:Y$45)))</f>
        <v>417317.06896551722</v>
      </c>
      <c r="Z97" s="191">
        <f t="array" ref="Z97">IF(Z94=0,0,MEDIAN(IF(Original_RS=$G$51,Z$12:Z$45)))</f>
        <v>493241.72413793101</v>
      </c>
      <c r="AA97" s="191">
        <f t="array" ref="AA97">IF(AA94=0,0,MEDIAN(IF(Original_RS=$G$51,AA$12:AA$45)))</f>
        <v>475001.37931034481</v>
      </c>
      <c r="AB97" s="191">
        <f t="array" ref="AB97">IF(AB94=0,0,MEDIAN(IF(Original_RS=$G$51,AB$12:AB$45)))</f>
        <v>511567.74193548388</v>
      </c>
      <c r="AC97" s="191">
        <f t="array" ref="AC97">IF(AC94=0,0,MEDIAN(IF(Original_RS=$G$51,AC$12:AC$45)))</f>
        <v>475381.81818181818</v>
      </c>
      <c r="AD97" s="191">
        <f t="array" ref="AD97">IF(AD94=0,0,MEDIAN(IF(Original_RS=$G$51,AD$12:AD$45)))</f>
        <v>451518.96551724139</v>
      </c>
      <c r="AE97" s="191">
        <f t="array" ref="AE97">IF(AE94=0,0,MEDIAN(IF(Original_RS=$G$51,AE$12:AE$45)))</f>
        <v>436088.0459770115</v>
      </c>
      <c r="AF97" s="191">
        <f t="array" ref="AF97">IF(AF94=0,0,MEDIAN(IF(Original_RS=$G$51,AF$12:AF$45)))</f>
        <v>420278.16091954021</v>
      </c>
      <c r="AG97" s="191">
        <f t="array" ref="AG97">IF(AG94=0,0,MEDIAN(IF(Original_RS=$G$51,AG$12:AG$45)))</f>
        <v>437424.56896551722</v>
      </c>
      <c r="AH97" s="191">
        <f t="array" ref="AH97">IF(AH94=0,0,MEDIAN(IF(Original_RS=$G$51,AH$12:AH$45)))</f>
        <v>428027.43730407523</v>
      </c>
      <c r="AI97" s="191">
        <f t="array" ref="AI97">IF(AI94=0,0,MEDIAN(IF(Original_RS=$G$51,AI$12:AI$45)))</f>
        <v>450763.83186705771</v>
      </c>
      <c r="AJ97" s="191">
        <f t="array" ref="AJ97">IF(AJ94=0,0,MEDIAN(IF(Original_RS=$G$51,AJ$12:AJ$45)))</f>
        <v>451349.83870967739</v>
      </c>
      <c r="AK97" s="191">
        <f t="array" ref="AK97">IF(AK94=0,0,MEDIAN(IF(Original_RS=$G$51,AK$12:AK$45)))</f>
        <v>396014.28571428574</v>
      </c>
      <c r="AL97" s="191">
        <f t="array" ref="AL97">IF(AL94=0,0,MEDIAN(IF(Original_RS=$G$51,AL$12:AL$45)))</f>
        <v>447817.14285714284</v>
      </c>
      <c r="AM97" s="191">
        <f t="array" ref="AM97">IF(AM94=0,0,MEDIAN(IF(Original_RS=$G$51,AM$12:AM$45)))</f>
        <v>456467.69230769231</v>
      </c>
      <c r="AN97" s="191">
        <f t="array" ref="AN97">IF(AN94=0,0,MEDIAN(IF(Original_RS=$G$51,AN$12:AN$45)))</f>
        <v>502402.30769230769</v>
      </c>
      <c r="AO97" s="191">
        <f t="array" ref="AO97">IF(AO94=0,0,MEDIAN(IF(Original_RS=$G$51,AO$12:AO$45)))</f>
        <v>490630</v>
      </c>
      <c r="AP97" s="191">
        <f t="array" ref="AP97">IF(AP94=0,0,MEDIAN(IF(Original_RS=$G$51,AP$12:AP$45)))</f>
        <v>494760</v>
      </c>
      <c r="AQ97" s="191">
        <f t="array" ref="AQ97">IF(AQ94=0,0,MEDIAN(IF(Original_RS=$G$51,AQ$12:AQ$45)))</f>
        <v>463680</v>
      </c>
      <c r="AR97" s="191">
        <f t="array" ref="AR97">IF(AR94=0,0,MEDIAN(IF(Original_RS=$G$51,AR$12:AR$45)))</f>
        <v>452960</v>
      </c>
      <c r="AS97" s="191">
        <f t="array" ref="AS97">IF(AS94=0,0,MEDIAN(IF(Original_RS=$G$51,AS$12:AS$45)))</f>
        <v>456320</v>
      </c>
      <c r="AT97" s="191">
        <f t="array" ref="AT97">IF(AT94=0,0,MEDIAN(IF(Original_RS=$G$51,AT$12:AT$45)))</f>
        <v>438080</v>
      </c>
      <c r="AU97" s="191">
        <f t="array" ref="AU97">IF(AU94=0,0,MEDIAN(IF(Original_RS=$G$51,AU$12:AU$45)))</f>
        <v>456000</v>
      </c>
      <c r="AV97" s="191">
        <f t="array" ref="AV97">IF(AV94=0,0,MEDIAN(IF(Original_RS=$G$51,AV$12:AV$45)))</f>
        <v>0</v>
      </c>
      <c r="AW97" s="191">
        <f t="array" ref="AW97">IF(AW94=0,0,MEDIAN(IF(Original_RS=$G$51,AW$12:AW$45)))</f>
        <v>0</v>
      </c>
      <c r="AX97" s="192">
        <f t="array" ref="AX97">IF(AX94=0,0,MEDIAN(IF(Original_RS=$G$51,AX$12:AX$45)))</f>
        <v>0</v>
      </c>
      <c r="AZ97" s="265"/>
    </row>
    <row r="98" spans="2:52" x14ac:dyDescent="0.25">
      <c r="B98" s="265"/>
      <c r="F98" s="193" t="str">
        <f t="shared" si="84"/>
        <v>Minimum</v>
      </c>
      <c r="G98" s="320"/>
      <c r="H98" s="194">
        <f>_xlfn.MINIFS(H$12:H$45,H$12:H$45,"&gt;0",Original_RS,$G$51)</f>
        <v>31578.823529411766</v>
      </c>
      <c r="I98" s="194">
        <f>_xlfn.MINIFS(I$12:I$45,I$12:I$45,"&gt;0",Original_RS,$G$51)</f>
        <v>446327.36242884252</v>
      </c>
      <c r="J98" s="194">
        <f>_xlfn.MINIFS(J$12:J$45,J$12:J$45,"&gt;0",Original_RS,$G$51)</f>
        <v>698278.89237199584</v>
      </c>
      <c r="K98" s="194">
        <f>_xlfn.MINIFS(K$12:K$45,K$12:K$45,"&gt;0",Original_RS,$G$51)/3</f>
        <v>1126315.1863462208</v>
      </c>
      <c r="L98" s="194">
        <f t="shared" ref="L98:AX98" si="87">_xlfn.MINIFS(L$12:L$45,L$12:L$45,"&gt;0",Original_RS,$G$51)</f>
        <v>2087</v>
      </c>
      <c r="M98" s="194">
        <f t="shared" si="87"/>
        <v>3017.2413793103451</v>
      </c>
      <c r="N98" s="194">
        <f t="shared" si="87"/>
        <v>3037.9310344827586</v>
      </c>
      <c r="O98" s="194">
        <f t="shared" si="87"/>
        <v>1848.2758620689656</v>
      </c>
      <c r="P98" s="194">
        <f t="shared" si="87"/>
        <v>1463.7931034482758</v>
      </c>
      <c r="Q98" s="194">
        <f t="shared" si="87"/>
        <v>1563.3333333333335</v>
      </c>
      <c r="R98" s="194">
        <f t="shared" si="87"/>
        <v>1690.1149425287356</v>
      </c>
      <c r="S98" s="194">
        <f t="shared" si="87"/>
        <v>1871.5517241379309</v>
      </c>
      <c r="T98" s="194">
        <f t="shared" si="87"/>
        <v>1728.4482758620688</v>
      </c>
      <c r="U98" s="194">
        <f t="shared" si="87"/>
        <v>2924.1379310344828</v>
      </c>
      <c r="V98" s="194">
        <f t="shared" si="87"/>
        <v>4019.4726166328605</v>
      </c>
      <c r="W98" s="194">
        <f t="shared" si="87"/>
        <v>2665.7754010695189</v>
      </c>
      <c r="X98" s="194">
        <f t="shared" si="87"/>
        <v>3010.588235294118</v>
      </c>
      <c r="Y98" s="194">
        <f t="shared" si="87"/>
        <v>2157.9310344827586</v>
      </c>
      <c r="Z98" s="194">
        <f t="shared" si="87"/>
        <v>3418.1979977753062</v>
      </c>
      <c r="AA98" s="194">
        <f t="shared" si="87"/>
        <v>4882.4916573971077</v>
      </c>
      <c r="AB98" s="194">
        <f t="shared" si="87"/>
        <v>869.7664071190211</v>
      </c>
      <c r="AC98" s="194">
        <f t="shared" si="87"/>
        <v>2587.8629032258063</v>
      </c>
      <c r="AD98" s="194">
        <f t="shared" si="87"/>
        <v>5356.1637931034484</v>
      </c>
      <c r="AE98" s="194">
        <f t="shared" si="87"/>
        <v>3680.3134796238246</v>
      </c>
      <c r="AF98" s="194">
        <f t="shared" si="87"/>
        <v>134.48275862068965</v>
      </c>
      <c r="AG98" s="194">
        <f t="shared" si="87"/>
        <v>8517.7308120133494</v>
      </c>
      <c r="AH98" s="194">
        <f t="shared" si="87"/>
        <v>170</v>
      </c>
      <c r="AI98" s="194">
        <f t="shared" si="87"/>
        <v>20584.545454545452</v>
      </c>
      <c r="AJ98" s="194">
        <f t="shared" si="87"/>
        <v>108429.33333333334</v>
      </c>
      <c r="AK98" s="194">
        <f t="shared" si="87"/>
        <v>49804</v>
      </c>
      <c r="AL98" s="194">
        <f t="shared" si="87"/>
        <v>46903.870967741939</v>
      </c>
      <c r="AM98" s="194">
        <f t="shared" si="87"/>
        <v>23036.129032258064</v>
      </c>
      <c r="AN98" s="194">
        <f t="shared" si="87"/>
        <v>760.90909090909099</v>
      </c>
      <c r="AO98" s="194">
        <f t="shared" si="87"/>
        <v>736.36363636363637</v>
      </c>
      <c r="AP98" s="194">
        <f t="shared" si="87"/>
        <v>76915.862068965507</v>
      </c>
      <c r="AQ98" s="194">
        <f t="shared" si="87"/>
        <v>129847.27272727274</v>
      </c>
      <c r="AR98" s="194">
        <f t="shared" si="87"/>
        <v>181280</v>
      </c>
      <c r="AS98" s="194">
        <f t="shared" si="87"/>
        <v>83552.903225806454</v>
      </c>
      <c r="AT98" s="194">
        <f t="shared" si="87"/>
        <v>93251.612903225818</v>
      </c>
      <c r="AU98" s="194">
        <f t="shared" si="87"/>
        <v>69775.483870967742</v>
      </c>
      <c r="AV98" s="194">
        <f t="shared" si="87"/>
        <v>0</v>
      </c>
      <c r="AW98" s="194">
        <f t="shared" si="87"/>
        <v>0</v>
      </c>
      <c r="AX98" s="195">
        <f t="shared" si="87"/>
        <v>0</v>
      </c>
      <c r="AZ98" s="265"/>
    </row>
    <row r="99" spans="2:52" x14ac:dyDescent="0.25">
      <c r="B99" s="265"/>
      <c r="AZ99" s="265"/>
    </row>
    <row r="100" spans="2:52" x14ac:dyDescent="0.25">
      <c r="B100" s="265"/>
      <c r="C100" s="265"/>
      <c r="D100" s="264"/>
      <c r="E100" s="264"/>
      <c r="F100" s="264"/>
      <c r="G100" s="264"/>
      <c r="H100" s="276"/>
      <c r="I100" s="276"/>
      <c r="J100" s="276"/>
      <c r="K100" s="276"/>
      <c r="L100" s="276"/>
      <c r="M100" s="276"/>
      <c r="N100" s="276"/>
      <c r="O100" s="276"/>
      <c r="P100" s="276"/>
      <c r="Q100" s="276"/>
      <c r="R100" s="276"/>
      <c r="S100" s="276"/>
      <c r="T100" s="276"/>
      <c r="U100" s="276"/>
      <c r="V100" s="276"/>
      <c r="W100" s="276"/>
      <c r="X100" s="276"/>
      <c r="Y100" s="265"/>
      <c r="Z100" s="265"/>
      <c r="AA100" s="265"/>
      <c r="AB100" s="265"/>
      <c r="AC100" s="265"/>
      <c r="AD100" s="265"/>
      <c r="AE100" s="265"/>
      <c r="AF100" s="265"/>
      <c r="AG100" s="265"/>
      <c r="AH100" s="265"/>
      <c r="AI100" s="265"/>
      <c r="AJ100" s="265"/>
      <c r="AK100" s="265"/>
      <c r="AL100" s="265"/>
      <c r="AM100" s="265"/>
      <c r="AN100" s="265"/>
      <c r="AO100" s="265"/>
      <c r="AP100" s="265"/>
      <c r="AQ100" s="265"/>
      <c r="AR100" s="265"/>
      <c r="AS100" s="265"/>
      <c r="AT100" s="265"/>
      <c r="AU100" s="265"/>
      <c r="AV100" s="265"/>
      <c r="AW100" s="265"/>
      <c r="AX100" s="265"/>
      <c r="AY100" s="265"/>
      <c r="AZ100" s="265"/>
    </row>
  </sheetData>
  <conditionalFormatting sqref="D12:AX45">
    <cfRule type="expression" dxfId="53" priority="4">
      <formula>$G12=$G$51</formula>
    </cfRule>
    <cfRule type="expression" dxfId="52" priority="5">
      <formula>$G12=$G$50</formula>
    </cfRule>
    <cfRule type="expression" dxfId="51" priority="6">
      <formula>$G12=$G$49</formula>
    </cfRule>
  </conditionalFormatting>
  <pageMargins left="0.7" right="0.7" top="0.75" bottom="0.75" header="0.3" footer="0.3"/>
  <pageSetup orientation="portrait" r:id="rId1"/>
  <ignoredErrors>
    <ignoredError sqref="K76:K9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56E44-94C4-4E3C-A2D0-62C24B42BFC1}">
  <sheetPr>
    <tabColor rgb="FF002D72"/>
  </sheetPr>
  <dimension ref="B1:BI53"/>
  <sheetViews>
    <sheetView tabSelected="1" topLeftCell="A16" zoomScale="70" zoomScaleNormal="70" workbookViewId="0">
      <selection activeCell="AO5" sqref="AO5"/>
    </sheetView>
  </sheetViews>
  <sheetFormatPr defaultRowHeight="15" x14ac:dyDescent="0.25"/>
  <cols>
    <col min="1" max="3" width="3.7109375" customWidth="1"/>
    <col min="4" max="4" width="13.5703125" bestFit="1" customWidth="1"/>
    <col min="5" max="5" width="8" bestFit="1" customWidth="1"/>
    <col min="6" max="9" width="8.42578125" customWidth="1"/>
    <col min="10" max="27" width="8.7109375" customWidth="1"/>
    <col min="28" max="32" width="3.7109375" customWidth="1"/>
    <col min="33" max="33" width="13.5703125" bestFit="1" customWidth="1"/>
    <col min="35" max="46" width="8.7109375" customWidth="1"/>
    <col min="47" max="47" width="3.7109375" customWidth="1"/>
    <col min="48" max="59" width="8.7109375" customWidth="1"/>
    <col min="60" max="61" width="3.7109375" customWidth="1"/>
  </cols>
  <sheetData>
    <row r="1" spans="2:61" x14ac:dyDescent="0.25">
      <c r="C1" s="73" t="s">
        <v>42</v>
      </c>
    </row>
    <row r="2" spans="2:61" x14ac:dyDescent="0.25">
      <c r="B2" s="243" t="s">
        <v>55</v>
      </c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E2" s="243" t="s">
        <v>100</v>
      </c>
      <c r="AF2" s="302"/>
      <c r="AG2" s="302"/>
      <c r="AH2" s="302"/>
      <c r="AI2" s="302"/>
      <c r="AJ2" s="302"/>
      <c r="AK2" s="302"/>
      <c r="AL2" s="302"/>
      <c r="AM2" s="302"/>
      <c r="AN2" s="302"/>
      <c r="AO2" s="302"/>
      <c r="AP2" s="302"/>
      <c r="AQ2" s="302"/>
      <c r="AR2" s="302"/>
      <c r="AS2" s="302"/>
      <c r="AT2" s="302"/>
      <c r="AU2" s="302"/>
      <c r="AV2" s="302"/>
      <c r="AW2" s="302"/>
      <c r="AX2" s="302"/>
      <c r="AY2" s="302"/>
      <c r="AZ2" s="302"/>
      <c r="BA2" s="302"/>
      <c r="BB2" s="302"/>
      <c r="BC2" s="302"/>
      <c r="BD2" s="302"/>
      <c r="BE2" s="302"/>
      <c r="BF2" s="302"/>
      <c r="BG2" s="302"/>
      <c r="BH2" s="302"/>
      <c r="BI2" s="302"/>
    </row>
    <row r="3" spans="2:61" ht="15.75" thickBot="1" x14ac:dyDescent="0.3">
      <c r="B3" s="235"/>
      <c r="AC3" s="235"/>
      <c r="AE3" s="235"/>
      <c r="BI3" s="235"/>
    </row>
    <row r="4" spans="2:61" ht="16.5" thickTop="1" thickBot="1" x14ac:dyDescent="0.3">
      <c r="B4" s="235"/>
      <c r="J4" s="296" t="s">
        <v>57</v>
      </c>
      <c r="K4" s="297"/>
      <c r="L4" s="297"/>
      <c r="M4" s="297"/>
      <c r="N4" s="297"/>
      <c r="O4" s="297"/>
      <c r="P4" s="297"/>
      <c r="Q4" s="297"/>
      <c r="R4" s="298"/>
      <c r="S4" s="296" t="s">
        <v>92</v>
      </c>
      <c r="T4" s="297"/>
      <c r="U4" s="297"/>
      <c r="V4" s="297"/>
      <c r="W4" s="297"/>
      <c r="X4" s="297"/>
      <c r="Y4" s="297"/>
      <c r="Z4" s="297"/>
      <c r="AA4" s="298"/>
      <c r="AC4" s="235"/>
      <c r="AE4" s="235"/>
      <c r="AK4" s="482" t="s">
        <v>71</v>
      </c>
      <c r="AL4" s="483"/>
      <c r="AM4" s="483"/>
      <c r="AN4" s="1"/>
      <c r="AO4" s="477">
        <f>AVERAGE(AI8:AT32)</f>
        <v>0.92851780801009542</v>
      </c>
      <c r="BI4" s="235"/>
    </row>
    <row r="5" spans="2:61" ht="15.75" thickTop="1" x14ac:dyDescent="0.25">
      <c r="B5" s="235"/>
      <c r="F5" s="232" t="s">
        <v>47</v>
      </c>
      <c r="G5" s="233"/>
      <c r="H5" s="1"/>
      <c r="I5" s="246" t="s">
        <v>50</v>
      </c>
      <c r="J5" s="277" t="s">
        <v>52</v>
      </c>
      <c r="K5" s="278">
        <v>0.2</v>
      </c>
      <c r="L5" s="279" t="s">
        <v>53</v>
      </c>
      <c r="M5" s="280" t="s">
        <v>52</v>
      </c>
      <c r="N5" s="278">
        <v>1</v>
      </c>
      <c r="O5" s="279" t="s">
        <v>53</v>
      </c>
      <c r="P5" s="280" t="s">
        <v>52</v>
      </c>
      <c r="Q5" s="278">
        <v>1.5</v>
      </c>
      <c r="R5" s="281" t="s">
        <v>53</v>
      </c>
      <c r="S5" s="277" t="s">
        <v>52</v>
      </c>
      <c r="T5" s="278">
        <v>0.5</v>
      </c>
      <c r="U5" s="279" t="s">
        <v>53</v>
      </c>
      <c r="V5" s="484" t="s">
        <v>52</v>
      </c>
      <c r="W5" s="278">
        <v>1</v>
      </c>
      <c r="X5" s="279" t="s">
        <v>53</v>
      </c>
      <c r="Y5" s="484" t="s">
        <v>52</v>
      </c>
      <c r="Z5" s="278">
        <v>1.5</v>
      </c>
      <c r="AA5" s="281" t="s">
        <v>53</v>
      </c>
      <c r="AC5" s="235"/>
      <c r="AE5" s="235"/>
      <c r="BI5" s="235"/>
    </row>
    <row r="6" spans="2:61" x14ac:dyDescent="0.25">
      <c r="B6" s="235"/>
      <c r="D6" s="76" t="s">
        <v>12</v>
      </c>
      <c r="E6" s="22" t="s">
        <v>43</v>
      </c>
      <c r="F6" s="54">
        <f>'kWh Summary All RSs'!J6</f>
        <v>2017</v>
      </c>
      <c r="G6" s="54">
        <f>'kWh Summary All RSs'!K6</f>
        <v>2018</v>
      </c>
      <c r="H6" s="54">
        <f>'kWh Summary All RSs'!L6</f>
        <v>2019</v>
      </c>
      <c r="I6" s="229" t="s">
        <v>29</v>
      </c>
      <c r="J6" s="282">
        <f>F6</f>
        <v>2017</v>
      </c>
      <c r="K6" s="54">
        <f>G6</f>
        <v>2018</v>
      </c>
      <c r="L6" s="250">
        <f>H6</f>
        <v>2019</v>
      </c>
      <c r="M6" s="258">
        <f>J6</f>
        <v>2017</v>
      </c>
      <c r="N6" s="234">
        <f t="shared" ref="N6:R6" si="0">K6</f>
        <v>2018</v>
      </c>
      <c r="O6" s="259">
        <f t="shared" si="0"/>
        <v>2019</v>
      </c>
      <c r="P6" s="258">
        <f t="shared" si="0"/>
        <v>2017</v>
      </c>
      <c r="Q6" s="234">
        <f t="shared" si="0"/>
        <v>2018</v>
      </c>
      <c r="R6" s="283">
        <f t="shared" si="0"/>
        <v>2019</v>
      </c>
      <c r="S6" s="303">
        <f>P6</f>
        <v>2017</v>
      </c>
      <c r="T6" s="54">
        <f t="shared" ref="T6:U6" si="1">Q6</f>
        <v>2018</v>
      </c>
      <c r="U6" s="504">
        <f t="shared" si="1"/>
        <v>2019</v>
      </c>
      <c r="V6" s="234">
        <f>S6</f>
        <v>2017</v>
      </c>
      <c r="W6" s="234">
        <f t="shared" ref="W6" si="2">T6</f>
        <v>2018</v>
      </c>
      <c r="X6" s="259">
        <f t="shared" ref="X6" si="3">U6</f>
        <v>2019</v>
      </c>
      <c r="Y6" s="234">
        <f t="shared" ref="Y6" si="4">V6</f>
        <v>2017</v>
      </c>
      <c r="Z6" s="234">
        <f t="shared" ref="Z6" si="5">W6</f>
        <v>2018</v>
      </c>
      <c r="AA6" s="283">
        <f t="shared" ref="AA6" si="6">X6</f>
        <v>2019</v>
      </c>
      <c r="AC6" s="235"/>
      <c r="AE6" s="235"/>
      <c r="AG6" s="76" t="s">
        <v>12</v>
      </c>
      <c r="AH6" s="22" t="s">
        <v>43</v>
      </c>
      <c r="AI6" s="232" t="s">
        <v>101</v>
      </c>
      <c r="AJ6" s="233"/>
      <c r="AK6" s="233"/>
      <c r="AL6" s="233"/>
      <c r="AM6" s="233"/>
      <c r="AN6" s="233"/>
      <c r="AO6" s="233"/>
      <c r="AP6" s="233"/>
      <c r="AQ6" s="233"/>
      <c r="AR6" s="233"/>
      <c r="AS6" s="233"/>
      <c r="AT6" s="1"/>
      <c r="AV6" s="232" t="s">
        <v>102</v>
      </c>
      <c r="AW6" s="233"/>
      <c r="AX6" s="233"/>
      <c r="AY6" s="233"/>
      <c r="AZ6" s="233"/>
      <c r="BA6" s="233"/>
      <c r="BB6" s="233"/>
      <c r="BC6" s="233"/>
      <c r="BD6" s="233"/>
      <c r="BE6" s="233"/>
      <c r="BF6" s="233"/>
      <c r="BG6" s="1"/>
      <c r="BI6" s="235"/>
    </row>
    <row r="7" spans="2:61" x14ac:dyDescent="0.25">
      <c r="B7" s="235"/>
      <c r="D7" s="77"/>
      <c r="E7" s="75" t="s">
        <v>44</v>
      </c>
      <c r="F7" s="77"/>
      <c r="G7" s="77"/>
      <c r="H7" s="77"/>
      <c r="I7" s="230" t="s">
        <v>51</v>
      </c>
      <c r="J7" s="284"/>
      <c r="K7" s="75"/>
      <c r="L7" s="252"/>
      <c r="M7" s="251"/>
      <c r="N7" s="75"/>
      <c r="O7" s="252"/>
      <c r="P7" s="251"/>
      <c r="Q7" s="75"/>
      <c r="R7" s="285"/>
      <c r="S7" s="284"/>
      <c r="T7" s="75"/>
      <c r="U7" s="252"/>
      <c r="V7" s="485"/>
      <c r="W7" s="75"/>
      <c r="X7" s="252"/>
      <c r="Y7" s="485"/>
      <c r="Z7" s="75"/>
      <c r="AA7" s="285"/>
      <c r="AC7" s="235"/>
      <c r="AE7" s="235"/>
      <c r="AG7" s="77"/>
      <c r="AH7" s="75" t="s">
        <v>44</v>
      </c>
      <c r="AI7" s="300" t="s">
        <v>59</v>
      </c>
      <c r="AJ7" s="300" t="s">
        <v>61</v>
      </c>
      <c r="AK7" s="300" t="s">
        <v>62</v>
      </c>
      <c r="AL7" s="300" t="s">
        <v>63</v>
      </c>
      <c r="AM7" s="300" t="s">
        <v>64</v>
      </c>
      <c r="AN7" s="300" t="s">
        <v>65</v>
      </c>
      <c r="AO7" s="300" t="s">
        <v>66</v>
      </c>
      <c r="AP7" s="300" t="s">
        <v>67</v>
      </c>
      <c r="AQ7" s="300" t="s">
        <v>68</v>
      </c>
      <c r="AR7" s="300" t="s">
        <v>69</v>
      </c>
      <c r="AS7" s="300" t="s">
        <v>70</v>
      </c>
      <c r="AT7" s="300" t="s">
        <v>60</v>
      </c>
      <c r="AV7" s="300" t="s">
        <v>59</v>
      </c>
      <c r="AW7" s="300" t="s">
        <v>61</v>
      </c>
      <c r="AX7" s="300" t="s">
        <v>62</v>
      </c>
      <c r="AY7" s="300" t="s">
        <v>63</v>
      </c>
      <c r="AZ7" s="300" t="s">
        <v>64</v>
      </c>
      <c r="BA7" s="300" t="s">
        <v>65</v>
      </c>
      <c r="BB7" s="300" t="s">
        <v>66</v>
      </c>
      <c r="BC7" s="300" t="s">
        <v>67</v>
      </c>
      <c r="BD7" s="300" t="s">
        <v>68</v>
      </c>
      <c r="BE7" s="300" t="s">
        <v>69</v>
      </c>
      <c r="BF7" s="300" t="s">
        <v>70</v>
      </c>
      <c r="BG7" s="300" t="s">
        <v>60</v>
      </c>
      <c r="BI7" s="235"/>
    </row>
    <row r="8" spans="2:61" x14ac:dyDescent="0.25">
      <c r="B8" s="235"/>
      <c r="D8" s="78">
        <f>'kWh Summary All RSs'!F10</f>
        <v>7455100000</v>
      </c>
      <c r="E8" s="78" t="str">
        <f>'kWh Summary All RSs'!I10</f>
        <v xml:space="preserve">RATE1   </v>
      </c>
      <c r="F8" s="79">
        <f>'kWh Summary All RSs'!J10/8760000</f>
        <v>2.2392534722222219E-3</v>
      </c>
      <c r="G8" s="79">
        <f>'kWh Summary All RSs'!K10/8760000</f>
        <v>6.6551327894171361E-3</v>
      </c>
      <c r="H8" s="79">
        <f>'kWh Summary All RSs'!L10/8760000</f>
        <v>5.7276725758796665E-3</v>
      </c>
      <c r="I8" s="247">
        <f t="shared" ref="I8:I41" si="7">MAX(F8:H8)</f>
        <v>6.6551327894171361E-3</v>
      </c>
      <c r="J8" s="286" t="str">
        <f>IF(MAX($F8:F8)&gt;$K$5,MAX($F8:F8),"")</f>
        <v/>
      </c>
      <c r="K8" s="236" t="str">
        <f>IF(MAX($F8:G8)&gt;$K$5,MAX($F8:G8),"")</f>
        <v/>
      </c>
      <c r="L8" s="254" t="str">
        <f>IF(MAX($F8:H8)&gt;$K$5,MAX($F8:H8),"")</f>
        <v/>
      </c>
      <c r="M8" s="253" t="str">
        <f>IF(MAX($F8:F8)&gt;$N$5,MAX($F8:F8),"")</f>
        <v/>
      </c>
      <c r="N8" s="236" t="str">
        <f>IF(MAX($F8:G8)&gt;$N$5,MAX($F8:G8),"")</f>
        <v/>
      </c>
      <c r="O8" s="254" t="str">
        <f>IF(MAX($F8:H8)&gt;$N$5,MAX($F8:H8),"")</f>
        <v/>
      </c>
      <c r="P8" s="253" t="str">
        <f>IF(MAX($F8:F8)&gt;$Q$5,MAX($F8:F8),"")</f>
        <v/>
      </c>
      <c r="Q8" s="236" t="str">
        <f>IF(MAX($F8:G8)&gt;$Q$5,MAX($F8:G8),"")</f>
        <v/>
      </c>
      <c r="R8" s="287" t="str">
        <f>IF(MAX($F8:H8)&gt;$Q$5,MAX($F8:H8),"")</f>
        <v/>
      </c>
      <c r="S8" s="286" t="str">
        <f t="shared" ref="S8:S40" si="8">IF(F8&gt;T$5,F8,"")</f>
        <v/>
      </c>
      <c r="T8" s="236" t="str">
        <f t="shared" ref="T8:T40" si="9">IF(G8&gt;T$5,G8,"")</f>
        <v/>
      </c>
      <c r="U8" s="254" t="str">
        <f t="shared" ref="U8:U40" si="10">IF(H8&gt;T$5,H8,"")</f>
        <v/>
      </c>
      <c r="V8" s="486" t="str">
        <f t="shared" ref="V8:V40" si="11">IF(F8&gt;W$5,F8,"")</f>
        <v/>
      </c>
      <c r="W8" s="236" t="str">
        <f t="shared" ref="W8:W40" si="12">IF(G8&gt;W$5,G8,"")</f>
        <v/>
      </c>
      <c r="X8" s="254" t="str">
        <f t="shared" ref="X8:X40" si="13">IF(H8&gt;W$5,H8,"")</f>
        <v/>
      </c>
      <c r="Y8" s="486" t="str">
        <f t="shared" ref="Y8:Y40" si="14">IF(F8&gt;Z$5,F8,"")</f>
        <v/>
      </c>
      <c r="Z8" s="236" t="str">
        <f t="shared" ref="Z8:Z40" si="15">IF(G8&gt;Z$5,G8,"")</f>
        <v/>
      </c>
      <c r="AA8" s="287" t="str">
        <f t="shared" ref="AA8:AA40" si="16">IF(H8&gt;Z$5,H8,"")</f>
        <v/>
      </c>
      <c r="AC8" s="235"/>
      <c r="AE8" s="235"/>
      <c r="AG8" s="474">
        <v>8918635834</v>
      </c>
      <c r="AH8" s="80" t="s">
        <v>17</v>
      </c>
      <c r="AI8" s="478">
        <v>0.96230283251746784</v>
      </c>
      <c r="AJ8" s="478">
        <v>0.9694086351544916</v>
      </c>
      <c r="AK8" s="478">
        <v>0.93212918966246583</v>
      </c>
      <c r="AL8" s="478">
        <v>0.90176789278585678</v>
      </c>
      <c r="AM8" s="478">
        <v>0.930685858715675</v>
      </c>
      <c r="AN8" s="478">
        <v>0.93800495757298885</v>
      </c>
      <c r="AO8" s="478">
        <v>0.93301971326164879</v>
      </c>
      <c r="AP8" s="478">
        <v>0.92510658836779014</v>
      </c>
      <c r="AQ8" s="478">
        <v>0.96553773024361267</v>
      </c>
      <c r="AR8" s="478"/>
      <c r="AS8" s="478">
        <v>0.8937316356513223</v>
      </c>
      <c r="AT8" s="478">
        <v>0.94883458611858462</v>
      </c>
      <c r="AV8" s="478"/>
      <c r="AW8" s="478"/>
      <c r="AX8" s="478"/>
      <c r="AY8" s="478"/>
      <c r="AZ8" s="478"/>
      <c r="BA8" s="478"/>
      <c r="BB8" s="478"/>
      <c r="BC8" s="478"/>
      <c r="BD8" s="478"/>
      <c r="BE8" s="478"/>
      <c r="BF8" s="478"/>
      <c r="BG8" s="478"/>
      <c r="BI8" s="235"/>
    </row>
    <row r="9" spans="2:61" x14ac:dyDescent="0.25">
      <c r="B9" s="235"/>
      <c r="D9" s="80">
        <f>'kWh Summary All RSs'!F8</f>
        <v>4788200000</v>
      </c>
      <c r="E9" s="80" t="str">
        <f>'kWh Summary All RSs'!I8</f>
        <v xml:space="preserve">RATE1   </v>
      </c>
      <c r="F9" s="81">
        <f>'kWh Summary All RSs'!J8/8760000</f>
        <v>2.8562505595845643E-3</v>
      </c>
      <c r="G9" s="81">
        <f>'kWh Summary All RSs'!K8/8760000</f>
        <v>1.0826799840572552E-2</v>
      </c>
      <c r="H9" s="81">
        <f>'kWh Summary All RSs'!L8/8760000</f>
        <v>1.5676900132567385E-2</v>
      </c>
      <c r="I9" s="248">
        <f t="shared" si="7"/>
        <v>1.5676900132567385E-2</v>
      </c>
      <c r="J9" s="288" t="str">
        <f>IF(MAX($F9:F9)&gt;$K$5,MAX($F9:F9),"")</f>
        <v/>
      </c>
      <c r="K9" s="237" t="str">
        <f>IF(MAX($F9:G9)&gt;$K$5,MAX($F9:G9),"")</f>
        <v/>
      </c>
      <c r="L9" s="256" t="str">
        <f>IF(MAX($F9:H9)&gt;$K$5,MAX($F9:H9),"")</f>
        <v/>
      </c>
      <c r="M9" s="255" t="str">
        <f>IF(MAX($F9:F9)&gt;$N$5,MAX($F9:F9),"")</f>
        <v/>
      </c>
      <c r="N9" s="237" t="str">
        <f>IF(MAX($F9:G9)&gt;$N$5,MAX($F9:G9),"")</f>
        <v/>
      </c>
      <c r="O9" s="256" t="str">
        <f>IF(MAX($F9:H9)&gt;$N$5,MAX($F9:H9),"")</f>
        <v/>
      </c>
      <c r="P9" s="255" t="str">
        <f>IF(MAX($F9:F9)&gt;$Q$5,MAX($F9:F9),"")</f>
        <v/>
      </c>
      <c r="Q9" s="237" t="str">
        <f>IF(MAX($F9:G9)&gt;$Q$5,MAX($F9:G9),"")</f>
        <v/>
      </c>
      <c r="R9" s="289" t="str">
        <f>IF(MAX($F9:H9)&gt;$Q$5,MAX($F9:H9),"")</f>
        <v/>
      </c>
      <c r="S9" s="288" t="str">
        <f t="shared" si="8"/>
        <v/>
      </c>
      <c r="T9" s="237" t="str">
        <f t="shared" si="9"/>
        <v/>
      </c>
      <c r="U9" s="256" t="str">
        <f t="shared" si="10"/>
        <v/>
      </c>
      <c r="V9" s="487" t="str">
        <f t="shared" si="11"/>
        <v/>
      </c>
      <c r="W9" s="237" t="str">
        <f t="shared" si="12"/>
        <v/>
      </c>
      <c r="X9" s="256" t="str">
        <f t="shared" si="13"/>
        <v/>
      </c>
      <c r="Y9" s="487" t="str">
        <f t="shared" si="14"/>
        <v/>
      </c>
      <c r="Z9" s="237" t="str">
        <f t="shared" si="15"/>
        <v/>
      </c>
      <c r="AA9" s="289" t="str">
        <f t="shared" si="16"/>
        <v/>
      </c>
      <c r="AC9" s="235"/>
      <c r="AE9" s="235"/>
      <c r="AG9" s="474">
        <v>403026638</v>
      </c>
      <c r="AH9" s="80" t="s">
        <v>17</v>
      </c>
      <c r="AI9" s="479">
        <v>0.9562376927695414</v>
      </c>
      <c r="AJ9" s="479">
        <v>0.9647276438321214</v>
      </c>
      <c r="AK9" s="479">
        <v>0.96959447346089955</v>
      </c>
      <c r="AL9" s="479">
        <v>0.92710352067183466</v>
      </c>
      <c r="AM9" s="479">
        <v>0.95937568575817422</v>
      </c>
      <c r="AN9" s="479">
        <v>0.93704627233129212</v>
      </c>
      <c r="AO9" s="479">
        <v>0.9573894282632146</v>
      </c>
      <c r="AP9" s="479">
        <v>0.79120609809688003</v>
      </c>
      <c r="AQ9" s="479"/>
      <c r="AR9" s="479">
        <v>0.94199088678583942</v>
      </c>
      <c r="AS9" s="479">
        <v>0.97692974280996048</v>
      </c>
      <c r="AT9" s="479">
        <v>0.94396962400792261</v>
      </c>
      <c r="AV9" s="479"/>
      <c r="AW9" s="479"/>
      <c r="AX9" s="479"/>
      <c r="AY9" s="479"/>
      <c r="AZ9" s="479"/>
      <c r="BA9" s="479"/>
      <c r="BB9" s="479"/>
      <c r="BC9" s="479"/>
      <c r="BD9" s="479"/>
      <c r="BE9" s="479"/>
      <c r="BF9" s="479"/>
      <c r="BG9" s="479"/>
      <c r="BI9" s="235"/>
    </row>
    <row r="10" spans="2:61" x14ac:dyDescent="0.25">
      <c r="B10" s="235"/>
      <c r="D10" s="80">
        <f>'kWh Summary All RSs'!F9</f>
        <v>7306100000</v>
      </c>
      <c r="E10" s="80" t="str">
        <f>'kWh Summary All RSs'!I9</f>
        <v xml:space="preserve">RATE1   </v>
      </c>
      <c r="F10" s="81">
        <f>'kWh Summary All RSs'!J9/8760000</f>
        <v>4.7409072404646794E-3</v>
      </c>
      <c r="G10" s="81">
        <f>'kWh Summary All RSs'!K9/8760000</f>
        <v>1.7726781310282519E-2</v>
      </c>
      <c r="H10" s="81">
        <f>'kWh Summary All RSs'!L9/8760000</f>
        <v>2.3199709422997091E-2</v>
      </c>
      <c r="I10" s="248">
        <f t="shared" si="7"/>
        <v>2.3199709422997091E-2</v>
      </c>
      <c r="J10" s="288" t="str">
        <f>IF(MAX($F10:F10)&gt;$K$5,MAX($F10:F10),"")</f>
        <v/>
      </c>
      <c r="K10" s="237" t="str">
        <f>IF(MAX($F10:G10)&gt;$K$5,MAX($F10:G10),"")</f>
        <v/>
      </c>
      <c r="L10" s="256" t="str">
        <f>IF(MAX($F10:H10)&gt;$K$5,MAX($F10:H10),"")</f>
        <v/>
      </c>
      <c r="M10" s="255" t="str">
        <f>IF(MAX($F10:F10)&gt;$N$5,MAX($F10:F10),"")</f>
        <v/>
      </c>
      <c r="N10" s="237" t="str">
        <f>IF(MAX($F10:G10)&gt;$N$5,MAX($F10:G10),"")</f>
        <v/>
      </c>
      <c r="O10" s="256" t="str">
        <f>IF(MAX($F10:H10)&gt;$N$5,MAX($F10:H10),"")</f>
        <v/>
      </c>
      <c r="P10" s="255" t="str">
        <f>IF(MAX($F10:F10)&gt;$Q$5,MAX($F10:F10),"")</f>
        <v/>
      </c>
      <c r="Q10" s="237" t="str">
        <f>IF(MAX($F10:G10)&gt;$Q$5,MAX($F10:G10),"")</f>
        <v/>
      </c>
      <c r="R10" s="289" t="str">
        <f>IF(MAX($F10:H10)&gt;$Q$5,MAX($F10:H10),"")</f>
        <v/>
      </c>
      <c r="S10" s="288" t="str">
        <f t="shared" si="8"/>
        <v/>
      </c>
      <c r="T10" s="237" t="str">
        <f t="shared" si="9"/>
        <v/>
      </c>
      <c r="U10" s="256" t="str">
        <f t="shared" si="10"/>
        <v/>
      </c>
      <c r="V10" s="487" t="str">
        <f t="shared" si="11"/>
        <v/>
      </c>
      <c r="W10" s="237" t="str">
        <f t="shared" si="12"/>
        <v/>
      </c>
      <c r="X10" s="256" t="str">
        <f t="shared" si="13"/>
        <v/>
      </c>
      <c r="Y10" s="487" t="str">
        <f t="shared" si="14"/>
        <v/>
      </c>
      <c r="Z10" s="237" t="str">
        <f t="shared" si="15"/>
        <v/>
      </c>
      <c r="AA10" s="289" t="str">
        <f t="shared" si="16"/>
        <v/>
      </c>
      <c r="AC10" s="235"/>
      <c r="AE10" s="235"/>
      <c r="AG10" s="474">
        <v>9374203699</v>
      </c>
      <c r="AH10" s="80" t="s">
        <v>17</v>
      </c>
      <c r="AI10" s="480"/>
      <c r="AJ10" s="480"/>
      <c r="AK10" s="480"/>
      <c r="AL10" s="480"/>
      <c r="AM10" s="480"/>
      <c r="AN10" s="480"/>
      <c r="AO10" s="480"/>
      <c r="AP10" s="480"/>
      <c r="AQ10" s="480"/>
      <c r="AR10" s="480"/>
      <c r="AS10" s="480"/>
      <c r="AT10" s="480"/>
      <c r="AV10" s="480">
        <v>0.92864125122189645</v>
      </c>
      <c r="AW10" s="480">
        <v>0.90862580881744093</v>
      </c>
      <c r="AX10" s="480">
        <v>0.91809994832804298</v>
      </c>
      <c r="AY10" s="480">
        <v>0.81446806618039502</v>
      </c>
      <c r="AZ10" s="480">
        <v>0.713616953255235</v>
      </c>
      <c r="BA10" s="480">
        <v>0.78791249536522057</v>
      </c>
      <c r="BB10" s="480">
        <v>0.66526222419336956</v>
      </c>
      <c r="BC10" s="480">
        <v>0.61566073962768175</v>
      </c>
      <c r="BD10" s="480">
        <v>0.7647156084656086</v>
      </c>
      <c r="BE10" s="480">
        <v>0.79916225749559089</v>
      </c>
      <c r="BF10" s="480">
        <v>0.65080271332055506</v>
      </c>
      <c r="BG10" s="480">
        <v>0.68982326213731171</v>
      </c>
      <c r="BI10" s="235"/>
    </row>
    <row r="11" spans="2:61" x14ac:dyDescent="0.25">
      <c r="B11" s="235"/>
      <c r="D11" s="80">
        <f>'kWh Summary All RSs'!F11</f>
        <v>3848100000</v>
      </c>
      <c r="E11" s="80" t="str">
        <f>'kWh Summary All RSs'!I11</f>
        <v xml:space="preserve">RATE2   </v>
      </c>
      <c r="F11" s="81">
        <f>'kWh Summary All RSs'!J11/8760000</f>
        <v>1.3963753485608057E-3</v>
      </c>
      <c r="G11" s="81">
        <f>'kWh Summary All RSs'!K11/8760000</f>
        <v>1.1050338783325966E-3</v>
      </c>
      <c r="H11" s="81">
        <f>'kWh Summary All RSs'!L11/8760000</f>
        <v>2.6035958904109591E-2</v>
      </c>
      <c r="I11" s="248">
        <f t="shared" si="7"/>
        <v>2.6035958904109591E-2</v>
      </c>
      <c r="J11" s="288" t="str">
        <f>IF(MAX($F11:F11)&gt;$K$5,MAX($F11:F11),"")</f>
        <v/>
      </c>
      <c r="K11" s="237" t="str">
        <f>IF(MAX($F11:G11)&gt;$K$5,MAX($F11:G11),"")</f>
        <v/>
      </c>
      <c r="L11" s="256" t="str">
        <f>IF(MAX($F11:H11)&gt;$K$5,MAX($F11:H11),"")</f>
        <v/>
      </c>
      <c r="M11" s="255" t="str">
        <f>IF(MAX($F11:F11)&gt;$N$5,MAX($F11:F11),"")</f>
        <v/>
      </c>
      <c r="N11" s="237" t="str">
        <f>IF(MAX($F11:G11)&gt;$N$5,MAX($F11:G11),"")</f>
        <v/>
      </c>
      <c r="O11" s="256" t="str">
        <f>IF(MAX($F11:H11)&gt;$N$5,MAX($F11:H11),"")</f>
        <v/>
      </c>
      <c r="P11" s="255" t="str">
        <f>IF(MAX($F11:F11)&gt;$Q$5,MAX($F11:F11),"")</f>
        <v/>
      </c>
      <c r="Q11" s="237" t="str">
        <f>IF(MAX($F11:G11)&gt;$Q$5,MAX($F11:G11),"")</f>
        <v/>
      </c>
      <c r="R11" s="289" t="str">
        <f>IF(MAX($F11:H11)&gt;$Q$5,MAX($F11:H11),"")</f>
        <v/>
      </c>
      <c r="S11" s="288" t="str">
        <f t="shared" si="8"/>
        <v/>
      </c>
      <c r="T11" s="237" t="str">
        <f t="shared" si="9"/>
        <v/>
      </c>
      <c r="U11" s="256" t="str">
        <f t="shared" si="10"/>
        <v/>
      </c>
      <c r="V11" s="487" t="str">
        <f t="shared" si="11"/>
        <v/>
      </c>
      <c r="W11" s="237" t="str">
        <f t="shared" si="12"/>
        <v/>
      </c>
      <c r="X11" s="256" t="str">
        <f t="shared" si="13"/>
        <v/>
      </c>
      <c r="Y11" s="487" t="str">
        <f t="shared" si="14"/>
        <v/>
      </c>
      <c r="Z11" s="237" t="str">
        <f t="shared" si="15"/>
        <v/>
      </c>
      <c r="AA11" s="289" t="str">
        <f t="shared" si="16"/>
        <v/>
      </c>
      <c r="AC11" s="235"/>
      <c r="AE11" s="235"/>
      <c r="AG11" s="474">
        <v>9591881044</v>
      </c>
      <c r="AH11" s="80" t="s">
        <v>17</v>
      </c>
      <c r="AI11" s="479">
        <v>0.97102988784830613</v>
      </c>
      <c r="AJ11" s="479">
        <v>0.95039144835892797</v>
      </c>
      <c r="AK11" s="479">
        <v>0.8987640391814965</v>
      </c>
      <c r="AL11" s="479">
        <v>0.82315800459194322</v>
      </c>
      <c r="AM11" s="479">
        <v>0.94772596314230551</v>
      </c>
      <c r="AN11" s="479">
        <v>0.95434320962685804</v>
      </c>
      <c r="AO11" s="479">
        <v>0.93714840953257639</v>
      </c>
      <c r="AP11" s="479">
        <v>0.8671522719389525</v>
      </c>
      <c r="AQ11" s="479">
        <v>0.93425724825042233</v>
      </c>
      <c r="AR11" s="479">
        <v>0.97585620080833857</v>
      </c>
      <c r="AS11" s="479">
        <v>0.91538832828031425</v>
      </c>
      <c r="AT11" s="479">
        <v>0.95829249700533603</v>
      </c>
      <c r="AV11" s="479"/>
      <c r="AW11" s="479"/>
      <c r="AX11" s="479"/>
      <c r="AY11" s="479"/>
      <c r="AZ11" s="479"/>
      <c r="BA11" s="479"/>
      <c r="BB11" s="479"/>
      <c r="BC11" s="479"/>
      <c r="BD11" s="479"/>
      <c r="BE11" s="479"/>
      <c r="BF11" s="479"/>
      <c r="BG11" s="479"/>
      <c r="BI11" s="235"/>
    </row>
    <row r="12" spans="2:61" x14ac:dyDescent="0.25">
      <c r="B12" s="235"/>
      <c r="D12" s="80">
        <f>'kWh Summary All RSs'!F7</f>
        <v>1409791486</v>
      </c>
      <c r="E12" s="80" t="str">
        <f>'kWh Summary All RSs'!I7</f>
        <v xml:space="preserve">RATE1   </v>
      </c>
      <c r="F12" s="81">
        <f>'kWh Summary All RSs'!J7/8760000</f>
        <v>2.4477707087026124E-2</v>
      </c>
      <c r="G12" s="81">
        <f>'kWh Summary All RSs'!K7/8760000</f>
        <v>2.6342110468097577E-2</v>
      </c>
      <c r="H12" s="81">
        <f>'kWh Summary All RSs'!L7/8760000</f>
        <v>2.6617673308426733E-2</v>
      </c>
      <c r="I12" s="248">
        <f t="shared" si="7"/>
        <v>2.6617673308426733E-2</v>
      </c>
      <c r="J12" s="288" t="str">
        <f>IF(MAX($F12:F12)&gt;$K$5,MAX($F12:F12),"")</f>
        <v/>
      </c>
      <c r="K12" s="237" t="str">
        <f>IF(MAX($F12:G12)&gt;$K$5,MAX($F12:G12),"")</f>
        <v/>
      </c>
      <c r="L12" s="257" t="str">
        <f>IF(MAX($F12:H12)&gt;$K$5,MAX($F12:H12),"")</f>
        <v/>
      </c>
      <c r="M12" s="255" t="str">
        <f>IF(MAX($F12:F12)&gt;$N$5,MAX($F12:F12),"")</f>
        <v/>
      </c>
      <c r="N12" s="237" t="str">
        <f>IF(MAX($F12:G12)&gt;$N$5,MAX($F12:G12),"")</f>
        <v/>
      </c>
      <c r="O12" s="257" t="str">
        <f>IF(MAX($F12:H12)&gt;$N$5,MAX($F12:H12),"")</f>
        <v/>
      </c>
      <c r="P12" s="255" t="str">
        <f>IF(MAX($F12:F12)&gt;$Q$5,MAX($F12:F12),"")</f>
        <v/>
      </c>
      <c r="Q12" s="237" t="str">
        <f>IF(MAX($F12:G12)&gt;$Q$5,MAX($F12:G12),"")</f>
        <v/>
      </c>
      <c r="R12" s="290" t="str">
        <f>IF(MAX($F12:H12)&gt;$Q$5,MAX($F12:H12),"")</f>
        <v/>
      </c>
      <c r="S12" s="288" t="str">
        <f t="shared" si="8"/>
        <v/>
      </c>
      <c r="T12" s="237" t="str">
        <f t="shared" si="9"/>
        <v/>
      </c>
      <c r="U12" s="257" t="str">
        <f t="shared" si="10"/>
        <v/>
      </c>
      <c r="V12" s="487" t="str">
        <f t="shared" si="11"/>
        <v/>
      </c>
      <c r="W12" s="237" t="str">
        <f t="shared" si="12"/>
        <v/>
      </c>
      <c r="X12" s="257" t="str">
        <f t="shared" si="13"/>
        <v/>
      </c>
      <c r="Y12" s="487" t="str">
        <f t="shared" si="14"/>
        <v/>
      </c>
      <c r="Z12" s="237" t="str">
        <f t="shared" si="15"/>
        <v/>
      </c>
      <c r="AA12" s="290" t="str">
        <f t="shared" si="16"/>
        <v/>
      </c>
      <c r="AC12" s="235"/>
      <c r="AE12" s="235"/>
      <c r="AG12" s="474">
        <v>4506838992</v>
      </c>
      <c r="AH12" s="80" t="s">
        <v>17</v>
      </c>
      <c r="AI12" s="479">
        <v>0.95885918561037964</v>
      </c>
      <c r="AJ12" s="479"/>
      <c r="AK12" s="479">
        <v>0.91464087787860726</v>
      </c>
      <c r="AL12" s="479">
        <v>0.86595557510446453</v>
      </c>
      <c r="AM12" s="479">
        <v>0.90203468595064684</v>
      </c>
      <c r="AN12" s="479">
        <v>0.90308429820633451</v>
      </c>
      <c r="AO12" s="479">
        <v>0.94359257323188317</v>
      </c>
      <c r="AP12" s="479">
        <v>0.94086021505376349</v>
      </c>
      <c r="AQ12" s="479">
        <v>0.9618469064517422</v>
      </c>
      <c r="AR12" s="479">
        <v>0.93598484848484842</v>
      </c>
      <c r="AS12" s="479">
        <v>0.96766274557279575</v>
      </c>
      <c r="AT12" s="479">
        <v>0.97241289141661769</v>
      </c>
      <c r="AV12" s="479"/>
      <c r="AW12" s="479"/>
      <c r="AX12" s="479"/>
      <c r="AY12" s="479"/>
      <c r="AZ12" s="479"/>
      <c r="BA12" s="479"/>
      <c r="BB12" s="479"/>
      <c r="BC12" s="479"/>
      <c r="BD12" s="479"/>
      <c r="BE12" s="479"/>
      <c r="BF12" s="479"/>
      <c r="BG12" s="479"/>
      <c r="BI12" s="235"/>
    </row>
    <row r="13" spans="2:61" x14ac:dyDescent="0.25">
      <c r="B13" s="235"/>
      <c r="D13" s="80">
        <f>'kWh Summary All RSs'!F14</f>
        <v>3199000000</v>
      </c>
      <c r="E13" s="80" t="str">
        <f>'kWh Summary All RSs'!I14</f>
        <v xml:space="preserve">RATE2   </v>
      </c>
      <c r="F13" s="81">
        <f>'kWh Summary All RSs'!J14/8760000</f>
        <v>3.0501980929358047E-2</v>
      </c>
      <c r="G13" s="81">
        <f>'kWh Summary All RSs'!K14/8760000</f>
        <v>4.9935804458769807E-2</v>
      </c>
      <c r="H13" s="81">
        <f>'kWh Summary All RSs'!L14/8760000</f>
        <v>4.9365296803652967E-2</v>
      </c>
      <c r="I13" s="248">
        <f t="shared" si="7"/>
        <v>4.9935804458769807E-2</v>
      </c>
      <c r="J13" s="288" t="str">
        <f>IF(MAX($F13:F13)&gt;$K$5,MAX($F13:F13),"")</f>
        <v/>
      </c>
      <c r="K13" s="237" t="str">
        <f>IF(MAX($F13:G13)&gt;$K$5,MAX($F13:G13),"")</f>
        <v/>
      </c>
      <c r="L13" s="256" t="str">
        <f>IF(MAX($F13:H13)&gt;$K$5,MAX($F13:H13),"")</f>
        <v/>
      </c>
      <c r="M13" s="255" t="str">
        <f>IF(MAX($F13:F13)&gt;$N$5,MAX($F13:F13),"")</f>
        <v/>
      </c>
      <c r="N13" s="237" t="str">
        <f>IF(MAX($F13:G13)&gt;$N$5,MAX($F13:G13),"")</f>
        <v/>
      </c>
      <c r="O13" s="256" t="str">
        <f>IF(MAX($F13:H13)&gt;$N$5,MAX($F13:H13),"")</f>
        <v/>
      </c>
      <c r="P13" s="255" t="str">
        <f>IF(MAX($F13:F13)&gt;$Q$5,MAX($F13:F13),"")</f>
        <v/>
      </c>
      <c r="Q13" s="237" t="str">
        <f>IF(MAX($F13:G13)&gt;$Q$5,MAX($F13:G13),"")</f>
        <v/>
      </c>
      <c r="R13" s="289" t="str">
        <f>IF(MAX($F13:H13)&gt;$Q$5,MAX($F13:H13),"")</f>
        <v/>
      </c>
      <c r="S13" s="288" t="str">
        <f t="shared" si="8"/>
        <v/>
      </c>
      <c r="T13" s="237" t="str">
        <f t="shared" si="9"/>
        <v/>
      </c>
      <c r="U13" s="256" t="str">
        <f t="shared" si="10"/>
        <v/>
      </c>
      <c r="V13" s="487" t="str">
        <f t="shared" si="11"/>
        <v/>
      </c>
      <c r="W13" s="237" t="str">
        <f t="shared" si="12"/>
        <v/>
      </c>
      <c r="X13" s="256" t="str">
        <f t="shared" si="13"/>
        <v/>
      </c>
      <c r="Y13" s="487" t="str">
        <f t="shared" si="14"/>
        <v/>
      </c>
      <c r="Z13" s="237" t="str">
        <f t="shared" si="15"/>
        <v/>
      </c>
      <c r="AA13" s="289" t="str">
        <f t="shared" si="16"/>
        <v/>
      </c>
      <c r="AC13" s="235"/>
      <c r="AE13" s="235"/>
      <c r="AG13" s="474">
        <v>7374993453</v>
      </c>
      <c r="AH13" s="80" t="s">
        <v>17</v>
      </c>
      <c r="AI13" s="479">
        <v>0.94298369794321024</v>
      </c>
      <c r="AJ13" s="479"/>
      <c r="AK13" s="479">
        <v>0.91963780418788899</v>
      </c>
      <c r="AL13" s="479">
        <v>0.89978859083662566</v>
      </c>
      <c r="AM13" s="479">
        <v>0.87946369308376471</v>
      </c>
      <c r="AN13" s="479">
        <v>0.86970271979759661</v>
      </c>
      <c r="AO13" s="479">
        <v>0.92748061085791955</v>
      </c>
      <c r="AP13" s="479"/>
      <c r="AQ13" s="479">
        <v>0.93416809183955074</v>
      </c>
      <c r="AR13" s="479">
        <v>0.92799905727079901</v>
      </c>
      <c r="AS13" s="479">
        <v>0.95460979889924391</v>
      </c>
      <c r="AT13" s="479">
        <v>0.95071144794230678</v>
      </c>
      <c r="AV13" s="479"/>
      <c r="AW13" s="479"/>
      <c r="AX13" s="479"/>
      <c r="AY13" s="479"/>
      <c r="AZ13" s="479"/>
      <c r="BA13" s="479"/>
      <c r="BB13" s="479"/>
      <c r="BC13" s="479"/>
      <c r="BD13" s="479"/>
      <c r="BE13" s="479"/>
      <c r="BF13" s="479"/>
      <c r="BG13" s="479"/>
      <c r="BI13" s="235"/>
    </row>
    <row r="14" spans="2:61" x14ac:dyDescent="0.25">
      <c r="B14" s="235"/>
      <c r="D14" s="80">
        <f>'kWh Summary All RSs'!F13</f>
        <v>3314839253</v>
      </c>
      <c r="E14" s="80" t="str">
        <f>'kWh Summary All RSs'!I13</f>
        <v xml:space="preserve">RATE2   </v>
      </c>
      <c r="F14" s="81">
        <f>'kWh Summary All RSs'!J13/8760000</f>
        <v>5.3866973458904108E-2</v>
      </c>
      <c r="G14" s="81">
        <f>'kWh Summary All RSs'!K13/8760000</f>
        <v>4.5734723303237856E-2</v>
      </c>
      <c r="H14" s="81">
        <f>'kWh Summary All RSs'!L13/8760000</f>
        <v>1.0403627764929133E-2</v>
      </c>
      <c r="I14" s="248">
        <f t="shared" si="7"/>
        <v>5.3866973458904108E-2</v>
      </c>
      <c r="J14" s="288" t="str">
        <f>IF(MAX($F14:F14)&gt;$K$5,MAX($F14:F14),"")</f>
        <v/>
      </c>
      <c r="K14" s="237" t="str">
        <f>IF(MAX($F14:G14)&gt;$K$5,MAX($F14:G14),"")</f>
        <v/>
      </c>
      <c r="L14" s="256" t="str">
        <f>IF(MAX($F14:H14)&gt;$K$5,MAX($F14:H14),"")</f>
        <v/>
      </c>
      <c r="M14" s="237" t="str">
        <f>IF(MAX($F14:F14)&gt;$N$5,MAX($F14:F14),"")</f>
        <v/>
      </c>
      <c r="N14" s="237" t="str">
        <f>IF(MAX($F14:G14)&gt;$N$5,MAX($F14:G14),"")</f>
        <v/>
      </c>
      <c r="O14" s="256" t="str">
        <f>IF(MAX($F14:H14)&gt;$N$5,MAX($F14:H14),"")</f>
        <v/>
      </c>
      <c r="P14" s="255" t="str">
        <f>IF(MAX($F14:F14)&gt;$Q$5,MAX($F14:F14),"")</f>
        <v/>
      </c>
      <c r="Q14" s="237" t="str">
        <f>IF(MAX($F14:G14)&gt;$Q$5,MAX($F14:G14),"")</f>
        <v/>
      </c>
      <c r="R14" s="289" t="str">
        <f>IF(MAX($F14:H14)&gt;$Q$5,MAX($F14:H14),"")</f>
        <v/>
      </c>
      <c r="S14" s="288" t="str">
        <f t="shared" si="8"/>
        <v/>
      </c>
      <c r="T14" s="237" t="str">
        <f t="shared" si="9"/>
        <v/>
      </c>
      <c r="U14" s="256" t="str">
        <f t="shared" si="10"/>
        <v/>
      </c>
      <c r="V14" s="487" t="str">
        <f t="shared" si="11"/>
        <v/>
      </c>
      <c r="W14" s="237" t="str">
        <f t="shared" si="12"/>
        <v/>
      </c>
      <c r="X14" s="256" t="str">
        <f t="shared" si="13"/>
        <v/>
      </c>
      <c r="Y14" s="487" t="str">
        <f t="shared" si="14"/>
        <v/>
      </c>
      <c r="Z14" s="237" t="str">
        <f t="shared" si="15"/>
        <v/>
      </c>
      <c r="AA14" s="289" t="str">
        <f t="shared" si="16"/>
        <v/>
      </c>
      <c r="AC14" s="235"/>
      <c r="AE14" s="235"/>
      <c r="AG14" s="474">
        <v>8544517434</v>
      </c>
      <c r="AH14" s="80" t="s">
        <v>17</v>
      </c>
      <c r="AI14" s="479">
        <v>0.90019936930817179</v>
      </c>
      <c r="AJ14" s="479">
        <v>0.9116877569544557</v>
      </c>
      <c r="AK14" s="479">
        <v>0.89559234645194763</v>
      </c>
      <c r="AL14" s="479">
        <v>0.79541250462449131</v>
      </c>
      <c r="AM14" s="479">
        <v>0.90252240789875193</v>
      </c>
      <c r="AN14" s="479">
        <v>0.91386110719819702</v>
      </c>
      <c r="AO14" s="479">
        <v>0.94246031746031744</v>
      </c>
      <c r="AP14" s="479">
        <v>0.96014343039218386</v>
      </c>
      <c r="AQ14" s="479">
        <v>0.96070811744386875</v>
      </c>
      <c r="AR14" s="479">
        <v>0.89117859725234994</v>
      </c>
      <c r="AS14" s="479">
        <v>0.95460964188185937</v>
      </c>
      <c r="AT14" s="479">
        <v>0.94776079299243254</v>
      </c>
      <c r="AV14" s="479"/>
      <c r="AW14" s="479"/>
      <c r="AX14" s="479"/>
      <c r="AY14" s="479"/>
      <c r="AZ14" s="479"/>
      <c r="BA14" s="479"/>
      <c r="BB14" s="479"/>
      <c r="BC14" s="479"/>
      <c r="BD14" s="479"/>
      <c r="BE14" s="479"/>
      <c r="BF14" s="479"/>
      <c r="BG14" s="479"/>
      <c r="BI14" s="235"/>
    </row>
    <row r="15" spans="2:61" x14ac:dyDescent="0.25">
      <c r="B15" s="235"/>
      <c r="D15" s="80">
        <f>'kWh Summary All RSs'!F18</f>
        <v>9374203699</v>
      </c>
      <c r="E15" s="80" t="str">
        <f>'kWh Summary All RSs'!I18</f>
        <v xml:space="preserve">RATE7   </v>
      </c>
      <c r="F15" s="81">
        <f>'kWh Summary All RSs'!J18/8760000</f>
        <v>0.15946118721461186</v>
      </c>
      <c r="G15" s="81">
        <f>'kWh Summary All RSs'!K18/8760000</f>
        <v>0.14655098934550986</v>
      </c>
      <c r="H15" s="81">
        <f>'kWh Summary All RSs'!L18/8760000</f>
        <v>8.4553740107275996E-2</v>
      </c>
      <c r="I15" s="248">
        <f t="shared" si="7"/>
        <v>0.15946118721461186</v>
      </c>
      <c r="J15" s="288" t="str">
        <f>IF(MAX($F15:F15)&gt;$K$5,MAX($F15:F15),"")</f>
        <v/>
      </c>
      <c r="K15" s="237" t="str">
        <f>IF(MAX($F15:G15)&gt;$K$5,MAX($F15:G15),"")</f>
        <v/>
      </c>
      <c r="L15" s="256" t="str">
        <f>IF(MAX($F15:H15)&gt;$K$5,MAX($F15:H15),"")</f>
        <v/>
      </c>
      <c r="M15" s="255" t="str">
        <f>IF(MAX($F15:F15)&gt;$N$5,MAX($F15:F15),"")</f>
        <v/>
      </c>
      <c r="N15" s="237" t="str">
        <f>IF(MAX($F15:G15)&gt;$N$5,MAX($F15:G15),"")</f>
        <v/>
      </c>
      <c r="O15" s="256" t="str">
        <f>IF(MAX($F15:H15)&gt;$N$5,MAX($F15:H15),"")</f>
        <v/>
      </c>
      <c r="P15" s="255" t="str">
        <f>IF(MAX($F15:F15)&gt;$Q$5,MAX($F15:F15),"")</f>
        <v/>
      </c>
      <c r="Q15" s="237" t="str">
        <f>IF(MAX($F15:G15)&gt;$Q$5,MAX($F15:G15),"")</f>
        <v/>
      </c>
      <c r="R15" s="289" t="str">
        <f>IF(MAX($F15:H15)&gt;$Q$5,MAX($F15:H15),"")</f>
        <v/>
      </c>
      <c r="S15" s="288" t="str">
        <f t="shared" si="8"/>
        <v/>
      </c>
      <c r="T15" s="237" t="str">
        <f t="shared" si="9"/>
        <v/>
      </c>
      <c r="U15" s="256" t="str">
        <f t="shared" si="10"/>
        <v/>
      </c>
      <c r="V15" s="487" t="str">
        <f t="shared" si="11"/>
        <v/>
      </c>
      <c r="W15" s="237" t="str">
        <f t="shared" si="12"/>
        <v/>
      </c>
      <c r="X15" s="256" t="str">
        <f t="shared" si="13"/>
        <v/>
      </c>
      <c r="Y15" s="487" t="str">
        <f t="shared" si="14"/>
        <v/>
      </c>
      <c r="Z15" s="237" t="str">
        <f t="shared" si="15"/>
        <v/>
      </c>
      <c r="AA15" s="289" t="str">
        <f t="shared" si="16"/>
        <v/>
      </c>
      <c r="AC15" s="235"/>
      <c r="AE15" s="235"/>
      <c r="AG15" s="474">
        <v>6278239538</v>
      </c>
      <c r="AH15" s="80" t="s">
        <v>17</v>
      </c>
      <c r="AI15" s="479">
        <v>0.96767206746455947</v>
      </c>
      <c r="AJ15" s="479">
        <v>0.98125045597140148</v>
      </c>
      <c r="AK15" s="479">
        <v>0.97077560926281725</v>
      </c>
      <c r="AL15" s="479">
        <v>0.95381526104417669</v>
      </c>
      <c r="AM15" s="479">
        <v>0.9485315740350071</v>
      </c>
      <c r="AN15" s="479">
        <v>0.96738394647087922</v>
      </c>
      <c r="AO15" s="479">
        <v>0.94551927986027129</v>
      </c>
      <c r="AP15" s="479">
        <v>0.9593318215557689</v>
      </c>
      <c r="AQ15" s="479">
        <v>0.88302009073233956</v>
      </c>
      <c r="AR15" s="479"/>
      <c r="AS15" s="479"/>
      <c r="AT15" s="479"/>
      <c r="AV15" s="479"/>
      <c r="AW15" s="479"/>
      <c r="AX15" s="479"/>
      <c r="AY15" s="479"/>
      <c r="AZ15" s="479"/>
      <c r="BA15" s="479"/>
      <c r="BB15" s="479"/>
      <c r="BC15" s="479"/>
      <c r="BD15" s="479"/>
      <c r="BE15" s="479"/>
      <c r="BF15" s="479"/>
      <c r="BG15" s="479"/>
      <c r="BI15" s="235"/>
    </row>
    <row r="16" spans="2:61" x14ac:dyDescent="0.25">
      <c r="B16" s="235"/>
      <c r="D16" s="80">
        <f>'kWh Summary All RSs'!F26</f>
        <v>4757134854</v>
      </c>
      <c r="E16" s="80" t="str">
        <f>'kWh Summary All RSs'!I26</f>
        <v xml:space="preserve">RATE7   </v>
      </c>
      <c r="F16" s="81">
        <f>'kWh Summary All RSs'!J26/8760000</f>
        <v>0.15946118721461186</v>
      </c>
      <c r="G16" s="81">
        <f>'kWh Summary All RSs'!K26/8760000</f>
        <v>0.14655098934550986</v>
      </c>
      <c r="H16" s="81">
        <f>'kWh Summary All RSs'!L26/8760000</f>
        <v>7.9712202325570303E-2</v>
      </c>
      <c r="I16" s="248">
        <f t="shared" si="7"/>
        <v>0.15946118721461186</v>
      </c>
      <c r="J16" s="288" t="str">
        <f>IF(MAX($F16:F16)&gt;$K$5,MAX($F16:F16),"")</f>
        <v/>
      </c>
      <c r="K16" s="237" t="str">
        <f>IF(MAX($F16:G16)&gt;$K$5,MAX($F16:G16),"")</f>
        <v/>
      </c>
      <c r="L16" s="256" t="str">
        <f>IF(MAX($F16:H16)&gt;$K$5,MAX($F16:H16),"")</f>
        <v/>
      </c>
      <c r="M16" s="255" t="str">
        <f>IF(MAX($F16:F16)&gt;$N$5,MAX($F16:F16),"")</f>
        <v/>
      </c>
      <c r="N16" s="237" t="str">
        <f>IF(MAX($F16:G16)&gt;$N$5,MAX($F16:G16),"")</f>
        <v/>
      </c>
      <c r="O16" s="256" t="str">
        <f>IF(MAX($F16:H16)&gt;$N$5,MAX($F16:H16),"")</f>
        <v/>
      </c>
      <c r="P16" s="255" t="str">
        <f>IF(MAX($F16:F16)&gt;$Q$5,MAX($F16:F16),"")</f>
        <v/>
      </c>
      <c r="Q16" s="237" t="str">
        <f>IF(MAX($F16:G16)&gt;$Q$5,MAX($F16:G16),"")</f>
        <v/>
      </c>
      <c r="R16" s="289" t="str">
        <f>IF(MAX($F16:H16)&gt;$Q$5,MAX($F16:H16),"")</f>
        <v/>
      </c>
      <c r="S16" s="288" t="str">
        <f t="shared" si="8"/>
        <v/>
      </c>
      <c r="T16" s="237" t="str">
        <f t="shared" si="9"/>
        <v/>
      </c>
      <c r="U16" s="256" t="str">
        <f t="shared" si="10"/>
        <v/>
      </c>
      <c r="V16" s="487" t="str">
        <f t="shared" si="11"/>
        <v/>
      </c>
      <c r="W16" s="237" t="str">
        <f t="shared" si="12"/>
        <v/>
      </c>
      <c r="X16" s="256" t="str">
        <f t="shared" si="13"/>
        <v/>
      </c>
      <c r="Y16" s="487" t="str">
        <f t="shared" si="14"/>
        <v/>
      </c>
      <c r="Z16" s="237" t="str">
        <f t="shared" si="15"/>
        <v/>
      </c>
      <c r="AA16" s="289" t="str">
        <f t="shared" si="16"/>
        <v/>
      </c>
      <c r="AC16" s="235"/>
      <c r="AE16" s="235"/>
      <c r="AG16" s="475">
        <v>2260246826</v>
      </c>
      <c r="AH16" s="82" t="s">
        <v>17</v>
      </c>
      <c r="AI16" s="479">
        <v>0.97346972721224212</v>
      </c>
      <c r="AJ16" s="479">
        <v>0.97143613676232088</v>
      </c>
      <c r="AK16" s="479">
        <v>0.95666374183484448</v>
      </c>
      <c r="AL16" s="479">
        <v>0.96088435374149661</v>
      </c>
      <c r="AM16" s="479">
        <v>0.96546485967711371</v>
      </c>
      <c r="AN16" s="479">
        <v>0.97107911911804567</v>
      </c>
      <c r="AO16" s="479">
        <v>0.96552742435886496</v>
      </c>
      <c r="AP16" s="479">
        <v>0.97424166930893386</v>
      </c>
      <c r="AQ16" s="479">
        <v>0.95545337684168896</v>
      </c>
      <c r="AR16" s="479"/>
      <c r="AS16" s="479">
        <v>0.968607019305881</v>
      </c>
      <c r="AT16" s="479">
        <v>0.85952123670676051</v>
      </c>
      <c r="AV16" s="479"/>
      <c r="AW16" s="479"/>
      <c r="AX16" s="479"/>
      <c r="AY16" s="479"/>
      <c r="AZ16" s="479"/>
      <c r="BA16" s="479"/>
      <c r="BB16" s="479"/>
      <c r="BC16" s="479"/>
      <c r="BD16" s="479"/>
      <c r="BE16" s="479"/>
      <c r="BF16" s="479"/>
      <c r="BG16" s="479"/>
      <c r="BI16" s="235"/>
    </row>
    <row r="17" spans="2:61" x14ac:dyDescent="0.25">
      <c r="B17" s="235"/>
      <c r="D17" s="80">
        <f>'kWh Summary All RSs'!F12</f>
        <v>8902134469</v>
      </c>
      <c r="E17" s="80" t="str">
        <f>'kWh Summary All RSs'!I12</f>
        <v xml:space="preserve">RATE2   </v>
      </c>
      <c r="F17" s="81">
        <f>'kWh Summary All RSs'!J12/8760000</f>
        <v>7.08675799086758E-4</v>
      </c>
      <c r="G17" s="81">
        <f>'kWh Summary All RSs'!K12/8760000</f>
        <v>0.17014986535534479</v>
      </c>
      <c r="H17" s="81">
        <f>'kWh Summary All RSs'!L12/8760000</f>
        <v>0.16539421613394215</v>
      </c>
      <c r="I17" s="248">
        <f t="shared" si="7"/>
        <v>0.17014986535534479</v>
      </c>
      <c r="J17" s="288" t="str">
        <f>IF(MAX($F17:F17)&gt;$K$5,MAX($F17:F17),"")</f>
        <v/>
      </c>
      <c r="K17" s="237" t="str">
        <f>IF(MAX($F17:G17)&gt;$K$5,MAX($F17:G17),"")</f>
        <v/>
      </c>
      <c r="L17" s="256" t="str">
        <f>IF(MAX($F17:H17)&gt;$K$5,MAX($F17:H17),"")</f>
        <v/>
      </c>
      <c r="M17" s="255" t="str">
        <f>IF(MAX($F17:F17)&gt;$N$5,MAX($F17:F17),"")</f>
        <v/>
      </c>
      <c r="N17" s="237" t="str">
        <f>IF(MAX($F17:G17)&gt;$N$5,MAX($F17:G17),"")</f>
        <v/>
      </c>
      <c r="O17" s="256" t="str">
        <f>IF(MAX($F17:H17)&gt;$N$5,MAX($F17:H17),"")</f>
        <v/>
      </c>
      <c r="P17" s="255" t="str">
        <f>IF(MAX($F17:F17)&gt;$Q$5,MAX($F17:F17),"")</f>
        <v/>
      </c>
      <c r="Q17" s="237" t="str">
        <f>IF(MAX($F17:G17)&gt;$Q$5,MAX($F17:G17),"")</f>
        <v/>
      </c>
      <c r="R17" s="289" t="str">
        <f>IF(MAX($F17:H17)&gt;$Q$5,MAX($F17:H17),"")</f>
        <v/>
      </c>
      <c r="S17" s="288" t="str">
        <f t="shared" si="8"/>
        <v/>
      </c>
      <c r="T17" s="237" t="str">
        <f t="shared" si="9"/>
        <v/>
      </c>
      <c r="U17" s="256" t="str">
        <f t="shared" si="10"/>
        <v/>
      </c>
      <c r="V17" s="487" t="str">
        <f t="shared" si="11"/>
        <v/>
      </c>
      <c r="W17" s="237" t="str">
        <f t="shared" si="12"/>
        <v/>
      </c>
      <c r="X17" s="256" t="str">
        <f t="shared" si="13"/>
        <v/>
      </c>
      <c r="Y17" s="487" t="str">
        <f t="shared" si="14"/>
        <v/>
      </c>
      <c r="Z17" s="237" t="str">
        <f t="shared" si="15"/>
        <v/>
      </c>
      <c r="AA17" s="289" t="str">
        <f t="shared" si="16"/>
        <v/>
      </c>
      <c r="AC17" s="235"/>
      <c r="AE17" s="235"/>
      <c r="AG17" s="474">
        <v>5414207710</v>
      </c>
      <c r="AH17" s="80" t="s">
        <v>17</v>
      </c>
      <c r="AI17" s="479">
        <v>0.90618368484072498</v>
      </c>
      <c r="AJ17" s="479">
        <v>0.95481317872262117</v>
      </c>
      <c r="AK17" s="479">
        <v>0.87326415599660367</v>
      </c>
      <c r="AL17" s="479">
        <v>0.92893217893217883</v>
      </c>
      <c r="AM17" s="479">
        <v>0.72784634378697965</v>
      </c>
      <c r="AN17" s="479">
        <v>0.83058560986923757</v>
      </c>
      <c r="AO17" s="479"/>
      <c r="AP17" s="479">
        <v>0.82307913905922048</v>
      </c>
      <c r="AQ17" s="479"/>
      <c r="AR17" s="479"/>
      <c r="AS17" s="479">
        <v>0.95996732026143794</v>
      </c>
      <c r="AT17" s="479">
        <v>0.84341295278795281</v>
      </c>
      <c r="AV17" s="479"/>
      <c r="AW17" s="479"/>
      <c r="AX17" s="479"/>
      <c r="AY17" s="479"/>
      <c r="AZ17" s="479"/>
      <c r="BA17" s="479"/>
      <c r="BB17" s="479"/>
      <c r="BC17" s="479"/>
      <c r="BD17" s="479"/>
      <c r="BE17" s="479"/>
      <c r="BF17" s="479"/>
      <c r="BG17" s="479"/>
      <c r="BI17" s="235"/>
    </row>
    <row r="18" spans="2:61" x14ac:dyDescent="0.25">
      <c r="B18" s="235"/>
      <c r="D18" s="80">
        <f>'kWh Summary All RSs'!F15</f>
        <v>2057100000</v>
      </c>
      <c r="E18" s="80" t="str">
        <f>'kWh Summary All RSs'!I15</f>
        <v xml:space="preserve">RATE2   </v>
      </c>
      <c r="F18" s="81">
        <f>'kWh Summary All RSs'!J15/8760000</f>
        <v>1.0896588772495299E-2</v>
      </c>
      <c r="G18" s="81">
        <f>'kWh Summary All RSs'!K15/8760000</f>
        <v>0.17328841638290315</v>
      </c>
      <c r="H18" s="81">
        <f>'kWh Summary All RSs'!L15/8760000</f>
        <v>0.18726407766620445</v>
      </c>
      <c r="I18" s="248">
        <f t="shared" si="7"/>
        <v>0.18726407766620445</v>
      </c>
      <c r="J18" s="288" t="str">
        <f>IF(MAX($F18:F18)&gt;$K$5,MAX($F18:F18),"")</f>
        <v/>
      </c>
      <c r="K18" s="237" t="str">
        <f>IF(MAX($F18:G18)&gt;$K$5,MAX($F18:G18),"")</f>
        <v/>
      </c>
      <c r="L18" s="256" t="str">
        <f>IF(MAX($F18:H18)&gt;$K$5,MAX($F18:H18),"")</f>
        <v/>
      </c>
      <c r="M18" s="255" t="str">
        <f>IF(MAX($F18:F18)&gt;$N$5,MAX($F18:F18),"")</f>
        <v/>
      </c>
      <c r="N18" s="237" t="str">
        <f>IF(MAX($F18:G18)&gt;$N$5,MAX($F18:G18),"")</f>
        <v/>
      </c>
      <c r="O18" s="256" t="str">
        <f>IF(MAX($F18:H18)&gt;$N$5,MAX($F18:H18),"")</f>
        <v/>
      </c>
      <c r="P18" s="255" t="str">
        <f>IF(MAX($F18:F18)&gt;$Q$5,MAX($F18:F18),"")</f>
        <v/>
      </c>
      <c r="Q18" s="237" t="str">
        <f>IF(MAX($F18:G18)&gt;$Q$5,MAX($F18:G18),"")</f>
        <v/>
      </c>
      <c r="R18" s="289" t="str">
        <f>IF(MAX($F18:H18)&gt;$Q$5,MAX($F18:H18),"")</f>
        <v/>
      </c>
      <c r="S18" s="288" t="str">
        <f t="shared" si="8"/>
        <v/>
      </c>
      <c r="T18" s="237" t="str">
        <f t="shared" si="9"/>
        <v/>
      </c>
      <c r="U18" s="256" t="str">
        <f t="shared" si="10"/>
        <v/>
      </c>
      <c r="V18" s="487" t="str">
        <f t="shared" si="11"/>
        <v/>
      </c>
      <c r="W18" s="237" t="str">
        <f t="shared" si="12"/>
        <v/>
      </c>
      <c r="X18" s="256" t="str">
        <f t="shared" si="13"/>
        <v/>
      </c>
      <c r="Y18" s="487" t="str">
        <f t="shared" si="14"/>
        <v/>
      </c>
      <c r="Z18" s="237" t="str">
        <f t="shared" si="15"/>
        <v/>
      </c>
      <c r="AA18" s="289" t="str">
        <f t="shared" si="16"/>
        <v/>
      </c>
      <c r="AC18" s="235"/>
      <c r="AE18" s="235"/>
      <c r="AG18" s="474">
        <v>4757134854</v>
      </c>
      <c r="AH18" s="80" t="s">
        <v>17</v>
      </c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V18" s="480"/>
      <c r="AW18" s="480">
        <v>0.90862580881744093</v>
      </c>
      <c r="AX18" s="480">
        <v>0.91809994832804298</v>
      </c>
      <c r="AY18" s="480">
        <v>0.81446806618039502</v>
      </c>
      <c r="AZ18" s="480">
        <v>0.713616953255235</v>
      </c>
      <c r="BA18" s="480">
        <v>0.78791249536522057</v>
      </c>
      <c r="BB18" s="480">
        <v>0.66526222419336956</v>
      </c>
      <c r="BC18" s="480">
        <v>0.61566073962768175</v>
      </c>
      <c r="BD18" s="480">
        <v>0.78538359788359791</v>
      </c>
      <c r="BE18" s="480">
        <v>0.65080271332055506</v>
      </c>
      <c r="BF18" s="480">
        <v>0.68982326213731171</v>
      </c>
      <c r="BG18" s="480"/>
      <c r="BI18" s="235"/>
    </row>
    <row r="19" spans="2:61" x14ac:dyDescent="0.25">
      <c r="B19" s="235"/>
      <c r="D19" s="80">
        <f>'kWh Summary All RSs'!F38</f>
        <v>3394380733</v>
      </c>
      <c r="E19" s="80" t="str">
        <f>'kWh Summary All RSs'!I38</f>
        <v xml:space="preserve">RATE7   </v>
      </c>
      <c r="F19" s="81">
        <f>'kWh Summary All RSs'!J38/8760000</f>
        <v>0</v>
      </c>
      <c r="G19" s="81">
        <f>'kWh Summary All RSs'!K38/8760000</f>
        <v>0.13556989247311829</v>
      </c>
      <c r="H19" s="81">
        <f>'kWh Summary All RSs'!L38/8760000</f>
        <v>0.26463102076889089</v>
      </c>
      <c r="I19" s="248">
        <f t="shared" si="7"/>
        <v>0.26463102076889089</v>
      </c>
      <c r="J19" s="288" t="str">
        <f>IF(MAX($F19:F19)&gt;$K$5,MAX($F19:F19),"")</f>
        <v/>
      </c>
      <c r="K19" s="237" t="str">
        <f>IF(MAX($F19:G19)&gt;$K$5,MAX($F19:G19),"")</f>
        <v/>
      </c>
      <c r="L19" s="256">
        <f>IF(MAX($F19:H19)&gt;$K$5,MAX($F19:H19),"")</f>
        <v>0.26463102076889089</v>
      </c>
      <c r="M19" s="255" t="str">
        <f>IF(MAX($F19:F19)&gt;$N$5,MAX($F19:F19),"")</f>
        <v/>
      </c>
      <c r="N19" s="237" t="str">
        <f>IF(MAX($F19:G19)&gt;$N$5,MAX($F19:G19),"")</f>
        <v/>
      </c>
      <c r="O19" s="256" t="str">
        <f>IF(MAX($F19:H19)&gt;$N$5,MAX($F19:H19),"")</f>
        <v/>
      </c>
      <c r="P19" s="255" t="str">
        <f>IF(MAX($F19:F19)&gt;$Q$5,MAX($F19:F19),"")</f>
        <v/>
      </c>
      <c r="Q19" s="237" t="str">
        <f>IF(MAX($F19:G19)&gt;$Q$5,MAX($F19:G19),"")</f>
        <v/>
      </c>
      <c r="R19" s="289" t="str">
        <f>IF(MAX($F19:H19)&gt;$Q$5,MAX($F19:H19),"")</f>
        <v/>
      </c>
      <c r="S19" s="288" t="str">
        <f t="shared" si="8"/>
        <v/>
      </c>
      <c r="T19" s="237" t="str">
        <f t="shared" si="9"/>
        <v/>
      </c>
      <c r="U19" s="256" t="str">
        <f t="shared" si="10"/>
        <v/>
      </c>
      <c r="V19" s="487" t="str">
        <f t="shared" si="11"/>
        <v/>
      </c>
      <c r="W19" s="237" t="str">
        <f t="shared" si="12"/>
        <v/>
      </c>
      <c r="X19" s="256" t="str">
        <f t="shared" si="13"/>
        <v/>
      </c>
      <c r="Y19" s="487" t="str">
        <f t="shared" si="14"/>
        <v/>
      </c>
      <c r="Z19" s="237" t="str">
        <f t="shared" si="15"/>
        <v/>
      </c>
      <c r="AA19" s="289" t="str">
        <f t="shared" si="16"/>
        <v/>
      </c>
      <c r="AC19" s="235"/>
      <c r="AE19" s="235"/>
      <c r="AG19" s="474">
        <v>494209150</v>
      </c>
      <c r="AH19" s="80" t="s">
        <v>17</v>
      </c>
      <c r="AI19" s="479">
        <v>0.96321564990837027</v>
      </c>
      <c r="AJ19" s="479">
        <v>0.95710332103321027</v>
      </c>
      <c r="AK19" s="479">
        <v>0.8908755213714461</v>
      </c>
      <c r="AL19" s="479">
        <v>0.87258200168208577</v>
      </c>
      <c r="AM19" s="479">
        <v>0.89445266044304772</v>
      </c>
      <c r="AN19" s="479">
        <v>0.91933570581257418</v>
      </c>
      <c r="AO19" s="479">
        <v>0.97209003424685392</v>
      </c>
      <c r="AP19" s="479">
        <v>0.93716980545714468</v>
      </c>
      <c r="AQ19" s="479"/>
      <c r="AR19" s="479"/>
      <c r="AS19" s="479"/>
      <c r="AT19" s="479">
        <v>0.88072078812819554</v>
      </c>
      <c r="AV19" s="479"/>
      <c r="AW19" s="479"/>
      <c r="AX19" s="479"/>
      <c r="AY19" s="479"/>
      <c r="AZ19" s="479"/>
      <c r="BA19" s="479"/>
      <c r="BB19" s="479"/>
      <c r="BC19" s="479"/>
      <c r="BD19" s="479"/>
      <c r="BE19" s="479"/>
      <c r="BF19" s="479"/>
      <c r="BG19" s="479"/>
      <c r="BI19" s="235"/>
    </row>
    <row r="20" spans="2:61" x14ac:dyDescent="0.25">
      <c r="B20" s="235"/>
      <c r="D20" s="82">
        <f>'kWh Summary All RSs'!F30</f>
        <v>6875167751</v>
      </c>
      <c r="E20" s="82" t="str">
        <f>'kWh Summary All RSs'!I30</f>
        <v xml:space="preserve">RATE7   </v>
      </c>
      <c r="F20" s="83">
        <f>'kWh Summary All RSs'!J30/8760000</f>
        <v>0</v>
      </c>
      <c r="G20" s="83">
        <f>'kWh Summary All RSs'!K30/8760000</f>
        <v>0.36191884599418844</v>
      </c>
      <c r="H20" s="83">
        <f>'kWh Summary All RSs'!L30/8760000</f>
        <v>0.34023349937733499</v>
      </c>
      <c r="I20" s="248">
        <f t="shared" si="7"/>
        <v>0.36191884599418844</v>
      </c>
      <c r="J20" s="288" t="str">
        <f>IF(MAX($F20:F20)&gt;$K$5,MAX($F20:F20),"")</f>
        <v/>
      </c>
      <c r="K20" s="237">
        <f>IF(MAX($F20:G20)&gt;$K$5,MAX($F20:G20),"")</f>
        <v>0.36191884599418844</v>
      </c>
      <c r="L20" s="256">
        <f>IF(MAX($F20:H20)&gt;$K$5,MAX($F20:H20),"")</f>
        <v>0.36191884599418844</v>
      </c>
      <c r="M20" s="255" t="str">
        <f>IF(MAX($F20:F20)&gt;$N$5,MAX($F20:F20),"")</f>
        <v/>
      </c>
      <c r="N20" s="237" t="str">
        <f>IF(MAX($F20:G20)&gt;$N$5,MAX($F20:G20),"")</f>
        <v/>
      </c>
      <c r="O20" s="256" t="str">
        <f>IF(MAX($F20:H20)&gt;$N$5,MAX($F20:H20),"")</f>
        <v/>
      </c>
      <c r="P20" s="255" t="str">
        <f>IF(MAX($F20:F20)&gt;$Q$5,MAX($F20:F20),"")</f>
        <v/>
      </c>
      <c r="Q20" s="237" t="str">
        <f>IF(MAX($F20:G20)&gt;$Q$5,MAX($F20:G20),"")</f>
        <v/>
      </c>
      <c r="R20" s="289" t="str">
        <f>IF(MAX($F20:H20)&gt;$Q$5,MAX($F20:H20),"")</f>
        <v/>
      </c>
      <c r="S20" s="288" t="str">
        <f t="shared" si="8"/>
        <v/>
      </c>
      <c r="T20" s="237" t="str">
        <f t="shared" si="9"/>
        <v/>
      </c>
      <c r="U20" s="256" t="str">
        <f t="shared" si="10"/>
        <v/>
      </c>
      <c r="V20" s="487" t="str">
        <f t="shared" si="11"/>
        <v/>
      </c>
      <c r="W20" s="237" t="str">
        <f t="shared" si="12"/>
        <v/>
      </c>
      <c r="X20" s="256" t="str">
        <f t="shared" si="13"/>
        <v/>
      </c>
      <c r="Y20" s="487" t="str">
        <f t="shared" si="14"/>
        <v/>
      </c>
      <c r="Z20" s="237" t="str">
        <f t="shared" si="15"/>
        <v/>
      </c>
      <c r="AA20" s="289" t="str">
        <f t="shared" si="16"/>
        <v/>
      </c>
      <c r="AC20" s="235"/>
      <c r="AE20" s="235"/>
      <c r="AG20" s="474">
        <v>4831874580</v>
      </c>
      <c r="AH20" s="80" t="s">
        <v>17</v>
      </c>
      <c r="AI20" s="479">
        <v>0.89577414370448927</v>
      </c>
      <c r="AJ20" s="479">
        <v>0.78445763396940882</v>
      </c>
      <c r="AK20" s="479">
        <v>0.94415082113277848</v>
      </c>
      <c r="AL20" s="479">
        <v>0.94222433661063543</v>
      </c>
      <c r="AM20" s="479">
        <v>0.85594503318970527</v>
      </c>
      <c r="AN20" s="479">
        <v>0.93404187451988496</v>
      </c>
      <c r="AO20" s="479">
        <v>0.95219492042964393</v>
      </c>
      <c r="AP20" s="479">
        <v>0.91010078603130706</v>
      </c>
      <c r="AQ20" s="479">
        <v>0.91467590146935096</v>
      </c>
      <c r="AR20" s="479">
        <v>0.91039600086087147</v>
      </c>
      <c r="AS20" s="479">
        <v>0.88411230367156379</v>
      </c>
      <c r="AT20" s="479">
        <v>0.98481198522495239</v>
      </c>
      <c r="AV20" s="479"/>
      <c r="AW20" s="479"/>
      <c r="AX20" s="479"/>
      <c r="AY20" s="479"/>
      <c r="AZ20" s="479"/>
      <c r="BA20" s="479"/>
      <c r="BB20" s="479"/>
      <c r="BC20" s="479"/>
      <c r="BD20" s="479"/>
      <c r="BE20" s="479"/>
      <c r="BF20" s="479"/>
      <c r="BG20" s="479"/>
      <c r="BI20" s="235"/>
    </row>
    <row r="21" spans="2:61" x14ac:dyDescent="0.25">
      <c r="B21" s="235"/>
      <c r="D21" s="80">
        <f>'kWh Summary All RSs'!F17</f>
        <v>403026638</v>
      </c>
      <c r="E21" s="80" t="str">
        <f>'kWh Summary All RSs'!I17</f>
        <v xml:space="preserve">RATE7   </v>
      </c>
      <c r="F21" s="81">
        <f>'kWh Summary All RSs'!J17/8760000</f>
        <v>0</v>
      </c>
      <c r="G21" s="81">
        <f>'kWh Summary All RSs'!K17/8760000</f>
        <v>0.38883510365540985</v>
      </c>
      <c r="H21" s="81">
        <f>'kWh Summary All RSs'!L17/8760000</f>
        <v>0.33107679535076801</v>
      </c>
      <c r="I21" s="248">
        <f t="shared" si="7"/>
        <v>0.38883510365540985</v>
      </c>
      <c r="J21" s="288" t="str">
        <f>IF(MAX($F21:F21)&gt;$K$5,MAX($F21:F21),"")</f>
        <v/>
      </c>
      <c r="K21" s="237">
        <f>IF(MAX($F21:G21)&gt;$K$5,MAX($F21:G21),"")</f>
        <v>0.38883510365540985</v>
      </c>
      <c r="L21" s="256">
        <f>IF(MAX($F21:H21)&gt;$K$5,MAX($F21:H21),"")</f>
        <v>0.38883510365540985</v>
      </c>
      <c r="M21" s="255" t="str">
        <f>IF(MAX($F21:F21)&gt;$N$5,MAX($F21:F21),"")</f>
        <v/>
      </c>
      <c r="N21" s="237" t="str">
        <f>IF(MAX($F21:G21)&gt;$N$5,MAX($F21:G21),"")</f>
        <v/>
      </c>
      <c r="O21" s="256" t="str">
        <f>IF(MAX($F21:H21)&gt;$N$5,MAX($F21:H21),"")</f>
        <v/>
      </c>
      <c r="P21" s="255" t="str">
        <f>IF(MAX($F21:F21)&gt;$Q$5,MAX($F21:F21),"")</f>
        <v/>
      </c>
      <c r="Q21" s="237" t="str">
        <f>IF(MAX($F21:G21)&gt;$Q$5,MAX($F21:G21),"")</f>
        <v/>
      </c>
      <c r="R21" s="289" t="str">
        <f>IF(MAX($F21:H21)&gt;$Q$5,MAX($F21:H21),"")</f>
        <v/>
      </c>
      <c r="S21" s="288" t="str">
        <f t="shared" si="8"/>
        <v/>
      </c>
      <c r="T21" s="237" t="str">
        <f t="shared" si="9"/>
        <v/>
      </c>
      <c r="U21" s="256" t="str">
        <f t="shared" si="10"/>
        <v/>
      </c>
      <c r="V21" s="487" t="str">
        <f t="shared" si="11"/>
        <v/>
      </c>
      <c r="W21" s="237" t="str">
        <f t="shared" si="12"/>
        <v/>
      </c>
      <c r="X21" s="256" t="str">
        <f t="shared" si="13"/>
        <v/>
      </c>
      <c r="Y21" s="487" t="str">
        <f t="shared" si="14"/>
        <v/>
      </c>
      <c r="Z21" s="237" t="str">
        <f t="shared" si="15"/>
        <v/>
      </c>
      <c r="AA21" s="289" t="str">
        <f t="shared" si="16"/>
        <v/>
      </c>
      <c r="AC21" s="235"/>
      <c r="AE21" s="235"/>
      <c r="AG21" s="474">
        <v>5414207710</v>
      </c>
      <c r="AH21" s="80" t="s">
        <v>17</v>
      </c>
      <c r="AI21" s="479">
        <v>0.90618368484072498</v>
      </c>
      <c r="AJ21" s="479">
        <v>0.95481317872262117</v>
      </c>
      <c r="AK21" s="479">
        <v>0.87326415599660367</v>
      </c>
      <c r="AL21" s="479">
        <v>0.92893217893217883</v>
      </c>
      <c r="AM21" s="479">
        <v>0.72784634378697965</v>
      </c>
      <c r="AN21" s="479">
        <v>0.83058560986923757</v>
      </c>
      <c r="AO21" s="479"/>
      <c r="AP21" s="479">
        <v>0.82307913905922048</v>
      </c>
      <c r="AQ21" s="479"/>
      <c r="AR21" s="479"/>
      <c r="AS21" s="479">
        <v>0.95996732026143794</v>
      </c>
      <c r="AT21" s="479">
        <v>0.84341295278795281</v>
      </c>
      <c r="AV21" s="479"/>
      <c r="AW21" s="479"/>
      <c r="AX21" s="479"/>
      <c r="AY21" s="479"/>
      <c r="AZ21" s="479"/>
      <c r="BA21" s="479"/>
      <c r="BB21" s="479"/>
      <c r="BC21" s="479"/>
      <c r="BD21" s="479"/>
      <c r="BE21" s="479"/>
      <c r="BF21" s="479"/>
      <c r="BG21" s="479"/>
      <c r="BI21" s="235"/>
    </row>
    <row r="22" spans="2:61" x14ac:dyDescent="0.25">
      <c r="B22" s="235"/>
      <c r="D22" s="80">
        <f>'kWh Summary All RSs'!F20</f>
        <v>4506838992</v>
      </c>
      <c r="E22" s="80" t="str">
        <f>'kWh Summary All RSs'!I20</f>
        <v xml:space="preserve">RATE7   </v>
      </c>
      <c r="F22" s="81">
        <f>'kWh Summary All RSs'!J20/8760000</f>
        <v>0.27664343271555203</v>
      </c>
      <c r="G22" s="81">
        <f>'kWh Summary All RSs'!K20/8760000</f>
        <v>0.39844295703256993</v>
      </c>
      <c r="H22" s="81">
        <f>'kWh Summary All RSs'!L20/8760000</f>
        <v>0.39077890705553098</v>
      </c>
      <c r="I22" s="248">
        <f t="shared" si="7"/>
        <v>0.39844295703256993</v>
      </c>
      <c r="J22" s="288">
        <f>IF(MAX($F22:F22)&gt;$K$5,MAX($F22:F22),"")</f>
        <v>0.27664343271555203</v>
      </c>
      <c r="K22" s="237">
        <f>IF(MAX($F22:G22)&gt;$K$5,MAX($F22:G22),"")</f>
        <v>0.39844295703256993</v>
      </c>
      <c r="L22" s="256">
        <f>IF(MAX($F22:H22)&gt;$K$5,MAX($F22:H22),"")</f>
        <v>0.39844295703256993</v>
      </c>
      <c r="M22" s="255" t="str">
        <f>IF(MAX($F22:F22)&gt;$N$5,MAX($F22:F22),"")</f>
        <v/>
      </c>
      <c r="N22" s="237" t="str">
        <f>IF(MAX($F22:G22)&gt;$N$5,MAX($F22:G22),"")</f>
        <v/>
      </c>
      <c r="O22" s="256" t="str">
        <f>IF(MAX($F22:H22)&gt;$N$5,MAX($F22:H22),"")</f>
        <v/>
      </c>
      <c r="P22" s="255" t="str">
        <f>IF(MAX($F22:F22)&gt;$Q$5,MAX($F22:F22),"")</f>
        <v/>
      </c>
      <c r="Q22" s="237" t="str">
        <f>IF(MAX($F22:G22)&gt;$Q$5,MAX($F22:G22),"")</f>
        <v/>
      </c>
      <c r="R22" s="289" t="str">
        <f>IF(MAX($F22:H22)&gt;$Q$5,MAX($F22:H22),"")</f>
        <v/>
      </c>
      <c r="S22" s="288" t="str">
        <f t="shared" si="8"/>
        <v/>
      </c>
      <c r="T22" s="237" t="str">
        <f t="shared" si="9"/>
        <v/>
      </c>
      <c r="U22" s="256" t="str">
        <f t="shared" si="10"/>
        <v/>
      </c>
      <c r="V22" s="487" t="str">
        <f t="shared" si="11"/>
        <v/>
      </c>
      <c r="W22" s="237" t="str">
        <f t="shared" si="12"/>
        <v/>
      </c>
      <c r="X22" s="256" t="str">
        <f t="shared" si="13"/>
        <v/>
      </c>
      <c r="Y22" s="487" t="str">
        <f t="shared" si="14"/>
        <v/>
      </c>
      <c r="Z22" s="237" t="str">
        <f t="shared" si="15"/>
        <v/>
      </c>
      <c r="AA22" s="289" t="str">
        <f t="shared" si="16"/>
        <v/>
      </c>
      <c r="AC22" s="235"/>
      <c r="AE22" s="235"/>
      <c r="AG22" s="475">
        <v>6875167751</v>
      </c>
      <c r="AH22" s="82" t="s">
        <v>17</v>
      </c>
      <c r="AI22" s="480" t="s">
        <v>14</v>
      </c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V22" s="480">
        <v>0.95161290322580649</v>
      </c>
      <c r="AW22" s="480">
        <v>0.88420079091720871</v>
      </c>
      <c r="AX22" s="480">
        <v>0.95995013246065131</v>
      </c>
      <c r="AY22" s="480">
        <v>0.96721936344577841</v>
      </c>
      <c r="AZ22" s="480">
        <v>0.84581923634606082</v>
      </c>
      <c r="BA22" s="480">
        <v>0.71834765022726821</v>
      </c>
      <c r="BB22" s="480">
        <v>0.92050929112181701</v>
      </c>
      <c r="BC22" s="480">
        <v>0.67482771936077945</v>
      </c>
      <c r="BD22" s="480"/>
      <c r="BE22" s="480">
        <v>0.85475366617235138</v>
      </c>
      <c r="BF22" s="480">
        <v>0.89020175227071774</v>
      </c>
      <c r="BG22" s="480">
        <v>0.78490847169008093</v>
      </c>
      <c r="BI22" s="235"/>
    </row>
    <row r="23" spans="2:61" x14ac:dyDescent="0.25">
      <c r="B23" s="235"/>
      <c r="D23" s="80">
        <f>'kWh Summary All RSs'!F25</f>
        <v>5414207710</v>
      </c>
      <c r="E23" s="80" t="str">
        <f>'kWh Summary All RSs'!I25</f>
        <v xml:space="preserve">RATE7   </v>
      </c>
      <c r="F23" s="81">
        <f>'kWh Summary All RSs'!J25/8760000</f>
        <v>1.3350631211388663E-2</v>
      </c>
      <c r="G23" s="81">
        <f>'kWh Summary All RSs'!K25/8760000</f>
        <v>0.44222866863640437</v>
      </c>
      <c r="H23" s="81">
        <f>'kWh Summary All RSs'!L25/8760000</f>
        <v>0.22216133942161342</v>
      </c>
      <c r="I23" s="248">
        <f t="shared" si="7"/>
        <v>0.44222866863640437</v>
      </c>
      <c r="J23" s="288" t="str">
        <f>IF(MAX($F23:F23)&gt;$K$5,MAX($F23:F23),"")</f>
        <v/>
      </c>
      <c r="K23" s="237">
        <f>IF(MAX($F23:G23)&gt;$K$5,MAX($F23:G23),"")</f>
        <v>0.44222866863640437</v>
      </c>
      <c r="L23" s="256">
        <f>IF(MAX($F23:H23)&gt;$K$5,MAX($F23:H23),"")</f>
        <v>0.44222866863640437</v>
      </c>
      <c r="M23" s="255" t="str">
        <f>IF(MAX($F23:F23)&gt;$N$5,MAX($F23:F23),"")</f>
        <v/>
      </c>
      <c r="N23" s="237" t="str">
        <f>IF(MAX($F23:G23)&gt;$N$5,MAX($F23:G23),"")</f>
        <v/>
      </c>
      <c r="O23" s="256" t="str">
        <f>IF(MAX($F23:H23)&gt;$N$5,MAX($F23:H23),"")</f>
        <v/>
      </c>
      <c r="P23" s="255" t="str">
        <f>IF(MAX($F23:F23)&gt;$Q$5,MAX($F23:F23),"")</f>
        <v/>
      </c>
      <c r="Q23" s="237" t="str">
        <f>IF(MAX($F23:G23)&gt;$Q$5,MAX($F23:G23),"")</f>
        <v/>
      </c>
      <c r="R23" s="289" t="str">
        <f>IF(MAX($F23:H23)&gt;$Q$5,MAX($F23:H23),"")</f>
        <v/>
      </c>
      <c r="S23" s="288" t="str">
        <f t="shared" si="8"/>
        <v/>
      </c>
      <c r="T23" s="237" t="str">
        <f t="shared" si="9"/>
        <v/>
      </c>
      <c r="U23" s="256" t="str">
        <f t="shared" si="10"/>
        <v/>
      </c>
      <c r="V23" s="487" t="str">
        <f t="shared" si="11"/>
        <v/>
      </c>
      <c r="W23" s="237" t="str">
        <f t="shared" si="12"/>
        <v/>
      </c>
      <c r="X23" s="256" t="str">
        <f t="shared" si="13"/>
        <v/>
      </c>
      <c r="Y23" s="487" t="str">
        <f t="shared" si="14"/>
        <v/>
      </c>
      <c r="Z23" s="237" t="str">
        <f t="shared" si="15"/>
        <v/>
      </c>
      <c r="AA23" s="289" t="str">
        <f t="shared" si="16"/>
        <v/>
      </c>
      <c r="AC23" s="235"/>
      <c r="AE23" s="235"/>
      <c r="AG23" s="474">
        <v>3990089383</v>
      </c>
      <c r="AH23" s="80" t="s">
        <v>17</v>
      </c>
      <c r="AI23" s="479">
        <v>0.94707375140622141</v>
      </c>
      <c r="AJ23" s="479">
        <v>0.93971356186339894</v>
      </c>
      <c r="AK23" s="479">
        <v>0.93614072108695756</v>
      </c>
      <c r="AL23" s="479">
        <v>0.90101401444492268</v>
      </c>
      <c r="AM23" s="479">
        <v>0.91585269645339995</v>
      </c>
      <c r="AN23" s="479">
        <v>0.94556425185730175</v>
      </c>
      <c r="AO23" s="479">
        <v>0.93523436182768516</v>
      </c>
      <c r="AP23" s="479">
        <v>0.92472690907226018</v>
      </c>
      <c r="AQ23" s="479">
        <v>0.91674867613290234</v>
      </c>
      <c r="AR23" s="479"/>
      <c r="AS23" s="479">
        <v>0.92349248065411016</v>
      </c>
      <c r="AT23" s="479">
        <v>0.94544039880395003</v>
      </c>
      <c r="AV23" s="479"/>
      <c r="AW23" s="479"/>
      <c r="AX23" s="479"/>
      <c r="AY23" s="479"/>
      <c r="AZ23" s="479"/>
      <c r="BA23" s="479"/>
      <c r="BB23" s="479"/>
      <c r="BC23" s="479"/>
      <c r="BD23" s="479"/>
      <c r="BE23" s="479"/>
      <c r="BF23" s="479"/>
      <c r="BG23" s="479"/>
      <c r="BI23" s="235"/>
    </row>
    <row r="24" spans="2:61" x14ac:dyDescent="0.25">
      <c r="B24" s="235"/>
      <c r="D24" s="80">
        <f>'kWh Summary All RSs'!F29</f>
        <v>5414207710</v>
      </c>
      <c r="E24" s="80" t="str">
        <f>'kWh Summary All RSs'!I29</f>
        <v xml:space="preserve">RATE7   </v>
      </c>
      <c r="F24" s="81">
        <f>'kWh Summary All RSs'!J29/8760000</f>
        <v>1.3350631211388663E-2</v>
      </c>
      <c r="G24" s="81">
        <f>'kWh Summary All RSs'!K29/8760000</f>
        <v>0.44222866863640437</v>
      </c>
      <c r="H24" s="81">
        <f>'kWh Summary All RSs'!L29/8760000</f>
        <v>0.22216133942161342</v>
      </c>
      <c r="I24" s="248">
        <f t="shared" si="7"/>
        <v>0.44222866863640437</v>
      </c>
      <c r="J24" s="288" t="str">
        <f>IF(MAX($F24:F24)&gt;$K$5,MAX($F24:F24),"")</f>
        <v/>
      </c>
      <c r="K24" s="237">
        <f>IF(MAX($F24:G24)&gt;$K$5,MAX($F24:G24),"")</f>
        <v>0.44222866863640437</v>
      </c>
      <c r="L24" s="256">
        <f>IF(MAX($F24:H24)&gt;$K$5,MAX($F24:H24),"")</f>
        <v>0.44222866863640437</v>
      </c>
      <c r="M24" s="255" t="str">
        <f>IF(MAX($F24:F24)&gt;$N$5,MAX($F24:F24),"")</f>
        <v/>
      </c>
      <c r="N24" s="237" t="str">
        <f>IF(MAX($F24:G24)&gt;$N$5,MAX($F24:G24),"")</f>
        <v/>
      </c>
      <c r="O24" s="256" t="str">
        <f>IF(MAX($F24:H24)&gt;$N$5,MAX($F24:H24),"")</f>
        <v/>
      </c>
      <c r="P24" s="255" t="str">
        <f>IF(MAX($F24:F24)&gt;$Q$5,MAX($F24:F24),"")</f>
        <v/>
      </c>
      <c r="Q24" s="237" t="str">
        <f>IF(MAX($F24:G24)&gt;$Q$5,MAX($F24:G24),"")</f>
        <v/>
      </c>
      <c r="R24" s="289" t="str">
        <f>IF(MAX($F24:H24)&gt;$Q$5,MAX($F24:H24),"")</f>
        <v/>
      </c>
      <c r="S24" s="288" t="str">
        <f t="shared" si="8"/>
        <v/>
      </c>
      <c r="T24" s="237" t="str">
        <f t="shared" si="9"/>
        <v/>
      </c>
      <c r="U24" s="256" t="str">
        <f t="shared" si="10"/>
        <v/>
      </c>
      <c r="V24" s="487" t="str">
        <f t="shared" si="11"/>
        <v/>
      </c>
      <c r="W24" s="237" t="str">
        <f t="shared" si="12"/>
        <v/>
      </c>
      <c r="X24" s="256" t="str">
        <f t="shared" si="13"/>
        <v/>
      </c>
      <c r="Y24" s="487" t="str">
        <f t="shared" si="14"/>
        <v/>
      </c>
      <c r="Z24" s="237" t="str">
        <f t="shared" si="15"/>
        <v/>
      </c>
      <c r="AA24" s="289" t="str">
        <f t="shared" si="16"/>
        <v/>
      </c>
      <c r="AC24" s="235"/>
      <c r="AE24" s="235"/>
      <c r="AG24" s="474">
        <v>5142999910</v>
      </c>
      <c r="AH24" s="80" t="s">
        <v>17</v>
      </c>
      <c r="AI24" s="479">
        <v>0.95307917888563043</v>
      </c>
      <c r="AJ24" s="479">
        <v>0.96384099616858243</v>
      </c>
      <c r="AK24" s="479">
        <v>0.95449587034439776</v>
      </c>
      <c r="AL24" s="479">
        <v>0.82588870277312487</v>
      </c>
      <c r="AM24" s="480"/>
      <c r="AN24" s="479"/>
      <c r="AO24" s="479"/>
      <c r="AP24" s="479">
        <v>0.9465744439806808</v>
      </c>
      <c r="AQ24" s="479">
        <v>0.91319918906125808</v>
      </c>
      <c r="AR24" s="479">
        <v>0.8797351501932047</v>
      </c>
      <c r="AS24" s="479">
        <v>0.93860596949481678</v>
      </c>
      <c r="AT24" s="479">
        <v>0.94262531321947218</v>
      </c>
      <c r="AV24" s="479"/>
      <c r="AW24" s="479"/>
      <c r="AX24" s="479"/>
      <c r="AY24" s="479"/>
      <c r="AZ24" s="480">
        <v>0.74039938556067586</v>
      </c>
      <c r="BA24" s="479"/>
      <c r="BB24" s="479"/>
      <c r="BC24" s="479"/>
      <c r="BD24" s="479"/>
      <c r="BE24" s="479"/>
      <c r="BF24" s="479"/>
      <c r="BG24" s="479"/>
      <c r="BI24" s="235"/>
    </row>
    <row r="25" spans="2:61" x14ac:dyDescent="0.25">
      <c r="B25" s="235"/>
      <c r="D25" s="80">
        <f>'kWh Summary All RSs'!F39</f>
        <v>7221004197</v>
      </c>
      <c r="E25" s="80" t="str">
        <f>'kWh Summary All RSs'!I39</f>
        <v xml:space="preserve">RATE7   </v>
      </c>
      <c r="F25" s="81">
        <f>'kWh Summary All RSs'!J39/8760000</f>
        <v>1.0755868922911631E-2</v>
      </c>
      <c r="G25" s="81">
        <f>'kWh Summary All RSs'!K39/8760000</f>
        <v>5.0950612149411247E-2</v>
      </c>
      <c r="H25" s="81">
        <f>'kWh Summary All RSs'!L39/8760000</f>
        <v>0.51459489358042165</v>
      </c>
      <c r="I25" s="248">
        <f t="shared" si="7"/>
        <v>0.51459489358042165</v>
      </c>
      <c r="J25" s="288" t="str">
        <f>IF(MAX($F25:F25)&gt;$K$5,MAX($F25:F25),"")</f>
        <v/>
      </c>
      <c r="K25" s="237" t="str">
        <f>IF(MAX($F25:G25)&gt;$K$5,MAX($F25:G25),"")</f>
        <v/>
      </c>
      <c r="L25" s="256">
        <f>IF(MAX($F25:H25)&gt;$K$5,MAX($F25:H25),"")</f>
        <v>0.51459489358042165</v>
      </c>
      <c r="M25" s="255" t="str">
        <f>IF(MAX($F25:F25)&gt;$N$5,MAX($F25:F25),"")</f>
        <v/>
      </c>
      <c r="N25" s="237" t="str">
        <f>IF(MAX($F25:G25)&gt;$N$5,MAX($F25:G25),"")</f>
        <v/>
      </c>
      <c r="O25" s="256" t="str">
        <f>IF(MAX($F25:H25)&gt;$N$5,MAX($F25:H25),"")</f>
        <v/>
      </c>
      <c r="P25" s="255" t="str">
        <f>IF(MAX($F25:F25)&gt;$Q$5,MAX($F25:F25),"")</f>
        <v/>
      </c>
      <c r="Q25" s="237" t="str">
        <f>IF(MAX($F25:G25)&gt;$Q$5,MAX($F25:G25),"")</f>
        <v/>
      </c>
      <c r="R25" s="289" t="str">
        <f>IF(MAX($F25:H25)&gt;$Q$5,MAX($F25:H25),"")</f>
        <v/>
      </c>
      <c r="S25" s="288" t="str">
        <f t="shared" si="8"/>
        <v/>
      </c>
      <c r="T25" s="237" t="str">
        <f t="shared" si="9"/>
        <v/>
      </c>
      <c r="U25" s="256">
        <f t="shared" si="10"/>
        <v>0.51459489358042165</v>
      </c>
      <c r="V25" s="487" t="str">
        <f t="shared" si="11"/>
        <v/>
      </c>
      <c r="W25" s="237" t="str">
        <f t="shared" si="12"/>
        <v/>
      </c>
      <c r="X25" s="256" t="str">
        <f t="shared" si="13"/>
        <v/>
      </c>
      <c r="Y25" s="487" t="str">
        <f t="shared" si="14"/>
        <v/>
      </c>
      <c r="Z25" s="237" t="str">
        <f t="shared" si="15"/>
        <v/>
      </c>
      <c r="AA25" s="289" t="str">
        <f t="shared" si="16"/>
        <v/>
      </c>
      <c r="AC25" s="235"/>
      <c r="AE25" s="235"/>
      <c r="AG25" s="474">
        <v>1114177282</v>
      </c>
      <c r="AH25" s="80" t="s">
        <v>17</v>
      </c>
      <c r="AI25" s="479">
        <v>0.95132968293851938</v>
      </c>
      <c r="AJ25" s="479">
        <v>0.92923558545930285</v>
      </c>
      <c r="AK25" s="479">
        <v>0.92791130050076676</v>
      </c>
      <c r="AL25" s="479">
        <v>0.92202071324804358</v>
      </c>
      <c r="AM25" s="479">
        <v>0.85697127502421877</v>
      </c>
      <c r="AN25" s="479">
        <v>0.86049702985186849</v>
      </c>
      <c r="AO25" s="479">
        <v>0.89004802119556226</v>
      </c>
      <c r="AP25" s="479">
        <v>0.95751917015664378</v>
      </c>
      <c r="AQ25" s="479">
        <v>0.96256574621959246</v>
      </c>
      <c r="AR25" s="479">
        <v>0.92014459415050942</v>
      </c>
      <c r="AS25" s="479">
        <v>0.89747724754946634</v>
      </c>
      <c r="AT25" s="479">
        <v>0.94678928742559909</v>
      </c>
      <c r="AV25" s="479"/>
      <c r="AW25" s="479"/>
      <c r="AX25" s="479"/>
      <c r="AY25" s="479"/>
      <c r="AZ25" s="479"/>
      <c r="BA25" s="479"/>
      <c r="BB25" s="479"/>
      <c r="BC25" s="479"/>
      <c r="BD25" s="479"/>
      <c r="BE25" s="479"/>
      <c r="BF25" s="479"/>
      <c r="BG25" s="479"/>
      <c r="BI25" s="235"/>
    </row>
    <row r="26" spans="2:61" x14ac:dyDescent="0.25">
      <c r="B26" s="235"/>
      <c r="D26" s="80">
        <f>'kWh Summary All RSs'!F21</f>
        <v>7374993453</v>
      </c>
      <c r="E26" s="80" t="str">
        <f>'kWh Summary All RSs'!I21</f>
        <v xml:space="preserve">RATE7   </v>
      </c>
      <c r="F26" s="81">
        <f>'kWh Summary All RSs'!J21/8760000</f>
        <v>0.47309454740800433</v>
      </c>
      <c r="G26" s="81">
        <f>'kWh Summary All RSs'!K21/8760000</f>
        <v>0.57814495767374563</v>
      </c>
      <c r="H26" s="81">
        <f>'kWh Summary All RSs'!L21/8760000</f>
        <v>0.57450935336573872</v>
      </c>
      <c r="I26" s="248">
        <f t="shared" si="7"/>
        <v>0.57814495767374563</v>
      </c>
      <c r="J26" s="288">
        <f>IF(MAX($F26:F26)&gt;$K$5,MAX($F26:F26),"")</f>
        <v>0.47309454740800433</v>
      </c>
      <c r="K26" s="237">
        <f>IF(MAX($F26:G26)&gt;$K$5,MAX($F26:G26),"")</f>
        <v>0.57814495767374563</v>
      </c>
      <c r="L26" s="256">
        <f>IF(MAX($F26:H26)&gt;$K$5,MAX($F26:H26),"")</f>
        <v>0.57814495767374563</v>
      </c>
      <c r="M26" s="255" t="str">
        <f>IF(MAX($F26:F26)&gt;$N$5,MAX($F26:F26),"")</f>
        <v/>
      </c>
      <c r="N26" s="237" t="str">
        <f>IF(MAX($F26:G26)&gt;$N$5,MAX($F26:G26),"")</f>
        <v/>
      </c>
      <c r="O26" s="256" t="str">
        <f>IF(MAX($F26:H26)&gt;$N$5,MAX($F26:H26),"")</f>
        <v/>
      </c>
      <c r="P26" s="255" t="str">
        <f>IF(MAX($F26:F26)&gt;$Q$5,MAX($F26:F26),"")</f>
        <v/>
      </c>
      <c r="Q26" s="237" t="str">
        <f>IF(MAX($F26:G26)&gt;$Q$5,MAX($F26:G26),"")</f>
        <v/>
      </c>
      <c r="R26" s="289" t="str">
        <f>IF(MAX($F26:H26)&gt;$Q$5,MAX($F26:H26),"")</f>
        <v/>
      </c>
      <c r="S26" s="288" t="str">
        <f t="shared" si="8"/>
        <v/>
      </c>
      <c r="T26" s="237">
        <f t="shared" si="9"/>
        <v>0.57814495767374563</v>
      </c>
      <c r="U26" s="256">
        <f t="shared" si="10"/>
        <v>0.57450935336573872</v>
      </c>
      <c r="V26" s="487" t="str">
        <f t="shared" si="11"/>
        <v/>
      </c>
      <c r="W26" s="237" t="str">
        <f t="shared" si="12"/>
        <v/>
      </c>
      <c r="X26" s="256" t="str">
        <f t="shared" si="13"/>
        <v/>
      </c>
      <c r="Y26" s="487" t="str">
        <f t="shared" si="14"/>
        <v/>
      </c>
      <c r="Z26" s="237" t="str">
        <f t="shared" si="15"/>
        <v/>
      </c>
      <c r="AA26" s="289" t="str">
        <f t="shared" si="16"/>
        <v/>
      </c>
      <c r="AC26" s="235"/>
      <c r="AE26" s="235"/>
      <c r="AG26" s="474">
        <v>2329696211</v>
      </c>
      <c r="AH26" s="80" t="s">
        <v>17</v>
      </c>
      <c r="AI26" s="479">
        <v>0.95896839485013574</v>
      </c>
      <c r="AJ26" s="479">
        <v>0.96560846560846558</v>
      </c>
      <c r="AK26" s="479">
        <v>0.96186946925055172</v>
      </c>
      <c r="AL26" s="479">
        <v>0.970948012232416</v>
      </c>
      <c r="AM26" s="479">
        <v>0.9631418549824623</v>
      </c>
      <c r="AN26" s="479">
        <v>0.96364133406232921</v>
      </c>
      <c r="AO26" s="479">
        <v>0.97222222222222221</v>
      </c>
      <c r="AP26" s="479">
        <v>0.98325755935628201</v>
      </c>
      <c r="AQ26" s="479">
        <v>0.96519847743338771</v>
      </c>
      <c r="AR26" s="479">
        <v>0.94320103496286201</v>
      </c>
      <c r="AS26" s="479">
        <v>0.95842675240069375</v>
      </c>
      <c r="AT26" s="479">
        <v>0.91377776924651921</v>
      </c>
      <c r="AV26" s="479"/>
      <c r="AW26" s="479"/>
      <c r="AX26" s="479"/>
      <c r="AY26" s="479"/>
      <c r="AZ26" s="479"/>
      <c r="BA26" s="479"/>
      <c r="BB26" s="479"/>
      <c r="BC26" s="479"/>
      <c r="BD26" s="479"/>
      <c r="BE26" s="479"/>
      <c r="BF26" s="479"/>
      <c r="BG26" s="479"/>
      <c r="BI26" s="235"/>
    </row>
    <row r="27" spans="2:61" x14ac:dyDescent="0.25">
      <c r="B27" s="235"/>
      <c r="D27" s="80">
        <f>'kWh Summary All RSs'!F22</f>
        <v>8544517434</v>
      </c>
      <c r="E27" s="80" t="str">
        <f>'kWh Summary All RSs'!I22</f>
        <v xml:space="preserve">RATE7   </v>
      </c>
      <c r="F27" s="81">
        <f>'kWh Summary All RSs'!J22/8760000</f>
        <v>0.3888693593875906</v>
      </c>
      <c r="G27" s="81">
        <f>'kWh Summary All RSs'!K22/8760000</f>
        <v>0.54290842452756616</v>
      </c>
      <c r="H27" s="81">
        <f>'kWh Summary All RSs'!L22/8760000</f>
        <v>0.59228899690676096</v>
      </c>
      <c r="I27" s="248">
        <f t="shared" si="7"/>
        <v>0.59228899690676096</v>
      </c>
      <c r="J27" s="288">
        <f>IF(MAX($F27:F27)&gt;$K$5,MAX($F27:F27),"")</f>
        <v>0.3888693593875906</v>
      </c>
      <c r="K27" s="237">
        <f>IF(MAX($F27:G27)&gt;$K$5,MAX($F27:G27),"")</f>
        <v>0.54290842452756616</v>
      </c>
      <c r="L27" s="256">
        <f>IF(MAX($F27:H27)&gt;$K$5,MAX($F27:H27),"")</f>
        <v>0.59228899690676096</v>
      </c>
      <c r="M27" s="255" t="str">
        <f>IF(MAX($F27:F27)&gt;$N$5,MAX($F27:F27),"")</f>
        <v/>
      </c>
      <c r="N27" s="237" t="str">
        <f>IF(MAX($F27:G27)&gt;$N$5,MAX($F27:G27),"")</f>
        <v/>
      </c>
      <c r="O27" s="256" t="str">
        <f>IF(MAX($F27:H27)&gt;$N$5,MAX($F27:H27),"")</f>
        <v/>
      </c>
      <c r="P27" s="255" t="str">
        <f>IF(MAX($F27:F27)&gt;$Q$5,MAX($F27:F27),"")</f>
        <v/>
      </c>
      <c r="Q27" s="237" t="str">
        <f>IF(MAX($F27:G27)&gt;$Q$5,MAX($F27:G27),"")</f>
        <v/>
      </c>
      <c r="R27" s="289" t="str">
        <f>IF(MAX($F27:H27)&gt;$Q$5,MAX($F27:H27),"")</f>
        <v/>
      </c>
      <c r="S27" s="288" t="str">
        <f t="shared" si="8"/>
        <v/>
      </c>
      <c r="T27" s="237">
        <f t="shared" si="9"/>
        <v>0.54290842452756616</v>
      </c>
      <c r="U27" s="256">
        <f t="shared" si="10"/>
        <v>0.59228899690676096</v>
      </c>
      <c r="V27" s="487" t="str">
        <f t="shared" si="11"/>
        <v/>
      </c>
      <c r="W27" s="237" t="str">
        <f t="shared" si="12"/>
        <v/>
      </c>
      <c r="X27" s="256" t="str">
        <f t="shared" si="13"/>
        <v/>
      </c>
      <c r="Y27" s="487" t="str">
        <f t="shared" si="14"/>
        <v/>
      </c>
      <c r="Z27" s="237" t="str">
        <f t="shared" si="15"/>
        <v/>
      </c>
      <c r="AA27" s="289" t="str">
        <f t="shared" si="16"/>
        <v/>
      </c>
      <c r="AC27" s="235"/>
      <c r="AE27" s="235"/>
      <c r="AG27" s="474">
        <v>7315489380</v>
      </c>
      <c r="AH27" s="80" t="s">
        <v>17</v>
      </c>
      <c r="AI27" s="479">
        <v>0.97298106429159492</v>
      </c>
      <c r="AJ27" s="479">
        <v>0.96713575223239523</v>
      </c>
      <c r="AK27" s="479">
        <v>0.95161821581877692</v>
      </c>
      <c r="AL27" s="479">
        <v>0.95291182247703976</v>
      </c>
      <c r="AM27" s="479">
        <v>0.96489480954897955</v>
      </c>
      <c r="AN27" s="479">
        <v>0.97268540574876938</v>
      </c>
      <c r="AO27" s="479">
        <v>0.95725176743695262</v>
      </c>
      <c r="AP27" s="479">
        <v>0.95670614997645032</v>
      </c>
      <c r="AQ27" s="479">
        <v>0.93909699172857075</v>
      </c>
      <c r="AR27" s="479">
        <v>0.96802986043492378</v>
      </c>
      <c r="AS27" s="479">
        <v>0.96552257266542985</v>
      </c>
      <c r="AT27" s="479">
        <v>0.94682072741001766</v>
      </c>
      <c r="AV27" s="479"/>
      <c r="AW27" s="479"/>
      <c r="AX27" s="479"/>
      <c r="AY27" s="479"/>
      <c r="AZ27" s="479"/>
      <c r="BA27" s="479"/>
      <c r="BB27" s="479"/>
      <c r="BC27" s="479"/>
      <c r="BD27" s="479"/>
      <c r="BE27" s="479"/>
      <c r="BF27" s="479"/>
      <c r="BG27" s="479"/>
      <c r="BI27" s="235"/>
    </row>
    <row r="28" spans="2:61" x14ac:dyDescent="0.25">
      <c r="B28" s="235"/>
      <c r="D28" s="80">
        <f>'kWh Summary All RSs'!F37</f>
        <v>3186200000</v>
      </c>
      <c r="E28" s="80" t="str">
        <f>'kWh Summary All RSs'!I37</f>
        <v xml:space="preserve">RATE7   </v>
      </c>
      <c r="F28" s="81">
        <f>'kWh Summary All RSs'!J37/8760000</f>
        <v>0.54163242009132417</v>
      </c>
      <c r="G28" s="81">
        <f>'kWh Summary All RSs'!K37/8760000</f>
        <v>0.65664176006641761</v>
      </c>
      <c r="H28" s="81">
        <f>'kWh Summary All RSs'!L37/8760000</f>
        <v>0.58616037083160377</v>
      </c>
      <c r="I28" s="248">
        <f t="shared" si="7"/>
        <v>0.65664176006641761</v>
      </c>
      <c r="J28" s="288">
        <f>IF(MAX($F28:F28)&gt;$K$5,MAX($F28:F28),"")</f>
        <v>0.54163242009132417</v>
      </c>
      <c r="K28" s="237">
        <f>IF(MAX($F28:G28)&gt;$K$5,MAX($F28:G28),"")</f>
        <v>0.65664176006641761</v>
      </c>
      <c r="L28" s="256">
        <f>IF(MAX($F28:H28)&gt;$K$5,MAX($F28:H28),"")</f>
        <v>0.65664176006641761</v>
      </c>
      <c r="M28" s="255" t="str">
        <f>IF(MAX($F28:F28)&gt;$N$5,MAX($F28:F28),"")</f>
        <v/>
      </c>
      <c r="N28" s="237" t="str">
        <f>IF(MAX($F28:G28)&gt;$N$5,MAX($F28:G28),"")</f>
        <v/>
      </c>
      <c r="O28" s="256" t="str">
        <f>IF(MAX($F28:H28)&gt;$N$5,MAX($F28:H28),"")</f>
        <v/>
      </c>
      <c r="P28" s="255" t="str">
        <f>IF(MAX($F28:F28)&gt;$Q$5,MAX($F28:F28),"")</f>
        <v/>
      </c>
      <c r="Q28" s="237" t="str">
        <f>IF(MAX($F28:G28)&gt;$Q$5,MAX($F28:G28),"")</f>
        <v/>
      </c>
      <c r="R28" s="289" t="str">
        <f>IF(MAX($F28:H28)&gt;$Q$5,MAX($F28:H28),"")</f>
        <v/>
      </c>
      <c r="S28" s="288">
        <f t="shared" si="8"/>
        <v>0.54163242009132417</v>
      </c>
      <c r="T28" s="237">
        <f t="shared" si="9"/>
        <v>0.65664176006641761</v>
      </c>
      <c r="U28" s="256">
        <f t="shared" si="10"/>
        <v>0.58616037083160377</v>
      </c>
      <c r="V28" s="487" t="str">
        <f t="shared" si="11"/>
        <v/>
      </c>
      <c r="W28" s="237" t="str">
        <f t="shared" si="12"/>
        <v/>
      </c>
      <c r="X28" s="256" t="str">
        <f t="shared" si="13"/>
        <v/>
      </c>
      <c r="Y28" s="487" t="str">
        <f t="shared" si="14"/>
        <v/>
      </c>
      <c r="Z28" s="237" t="str">
        <f t="shared" si="15"/>
        <v/>
      </c>
      <c r="AA28" s="289" t="str">
        <f t="shared" si="16"/>
        <v/>
      </c>
      <c r="AC28" s="235"/>
      <c r="AE28" s="235"/>
      <c r="AG28" s="474">
        <v>870953315</v>
      </c>
      <c r="AH28" s="80" t="s">
        <v>17</v>
      </c>
      <c r="AI28" s="479">
        <v>0.95715216682958615</v>
      </c>
      <c r="AJ28" s="479">
        <v>0.95378943758573398</v>
      </c>
      <c r="AK28" s="479">
        <v>0.92509624319660155</v>
      </c>
      <c r="AL28" s="479">
        <v>0.73660147320294644</v>
      </c>
      <c r="AM28" s="479">
        <v>0.91386174448063684</v>
      </c>
      <c r="AN28" s="479">
        <v>0.96531781898775815</v>
      </c>
      <c r="AO28" s="479">
        <v>0.9512325830653805</v>
      </c>
      <c r="AP28" s="479">
        <v>0.93539645073870092</v>
      </c>
      <c r="AQ28" s="479">
        <v>0.92592592592592593</v>
      </c>
      <c r="AR28" s="479">
        <v>0.95594039865798297</v>
      </c>
      <c r="AS28" s="479">
        <v>0.91286514605842339</v>
      </c>
      <c r="AT28" s="479">
        <v>0.94753640534610006</v>
      </c>
      <c r="AV28" s="479"/>
      <c r="AW28" s="479"/>
      <c r="AX28" s="479"/>
      <c r="AY28" s="479"/>
      <c r="AZ28" s="479"/>
      <c r="BA28" s="479"/>
      <c r="BB28" s="479"/>
      <c r="BC28" s="479"/>
      <c r="BD28" s="479"/>
      <c r="BE28" s="479"/>
      <c r="BF28" s="479"/>
      <c r="BG28" s="479"/>
      <c r="BI28" s="235"/>
    </row>
    <row r="29" spans="2:61" x14ac:dyDescent="0.25">
      <c r="B29" s="235"/>
      <c r="D29" s="80">
        <f>'kWh Summary All RSs'!F35</f>
        <v>7315489380</v>
      </c>
      <c r="E29" s="80" t="str">
        <f>'kWh Summary All RSs'!I35</f>
        <v xml:space="preserve">RATE7   </v>
      </c>
      <c r="F29" s="81">
        <f>'kWh Summary All RSs'!J35/8760000</f>
        <v>0.66352843808756379</v>
      </c>
      <c r="G29" s="81">
        <f>'kWh Summary All RSs'!K35/8760000</f>
        <v>0.66549463232044914</v>
      </c>
      <c r="H29" s="81">
        <f>'kWh Summary All RSs'!L35/8760000</f>
        <v>0.6265859478568272</v>
      </c>
      <c r="I29" s="248">
        <f t="shared" si="7"/>
        <v>0.66549463232044914</v>
      </c>
      <c r="J29" s="288">
        <f>IF(MAX($F29:F29)&gt;$K$5,MAX($F29:F29),"")</f>
        <v>0.66352843808756379</v>
      </c>
      <c r="K29" s="237">
        <f>IF(MAX($F29:G29)&gt;$K$5,MAX($F29:G29),"")</f>
        <v>0.66549463232044914</v>
      </c>
      <c r="L29" s="256">
        <f>IF(MAX($F29:H29)&gt;$K$5,MAX($F29:H29),"")</f>
        <v>0.66549463232044914</v>
      </c>
      <c r="M29" s="255" t="str">
        <f>IF(MAX($F29:F29)&gt;$N$5,MAX($F29:F29),"")</f>
        <v/>
      </c>
      <c r="N29" s="237" t="str">
        <f>IF(MAX($F29:G29)&gt;$N$5,MAX($F29:G29),"")</f>
        <v/>
      </c>
      <c r="O29" s="256" t="str">
        <f>IF(MAX($F29:H29)&gt;$N$5,MAX($F29:H29),"")</f>
        <v/>
      </c>
      <c r="P29" s="255" t="str">
        <f>IF(MAX($F29:F29)&gt;$Q$5,MAX($F29:F29),"")</f>
        <v/>
      </c>
      <c r="Q29" s="237" t="str">
        <f>IF(MAX($F29:G29)&gt;$Q$5,MAX($F29:G29),"")</f>
        <v/>
      </c>
      <c r="R29" s="289" t="str">
        <f>IF(MAX($F29:H29)&gt;$Q$5,MAX($F29:H29),"")</f>
        <v/>
      </c>
      <c r="S29" s="288">
        <f t="shared" si="8"/>
        <v>0.66352843808756379</v>
      </c>
      <c r="T29" s="237">
        <f t="shared" si="9"/>
        <v>0.66549463232044914</v>
      </c>
      <c r="U29" s="256">
        <f t="shared" si="10"/>
        <v>0.6265859478568272</v>
      </c>
      <c r="V29" s="487" t="str">
        <f t="shared" si="11"/>
        <v/>
      </c>
      <c r="W29" s="237" t="str">
        <f t="shared" si="12"/>
        <v/>
      </c>
      <c r="X29" s="256" t="str">
        <f t="shared" si="13"/>
        <v/>
      </c>
      <c r="Y29" s="487" t="str">
        <f t="shared" si="14"/>
        <v/>
      </c>
      <c r="Z29" s="237" t="str">
        <f t="shared" si="15"/>
        <v/>
      </c>
      <c r="AA29" s="289" t="str">
        <f t="shared" si="16"/>
        <v/>
      </c>
      <c r="AC29" s="235"/>
      <c r="AE29" s="235"/>
      <c r="AG29" s="474">
        <v>3186200000</v>
      </c>
      <c r="AH29" s="80" t="s">
        <v>17</v>
      </c>
      <c r="AI29" s="479">
        <v>0.95518212501436062</v>
      </c>
      <c r="AJ29" s="479">
        <v>0.91757101844162225</v>
      </c>
      <c r="AK29" s="479">
        <v>0.93516465467684973</v>
      </c>
      <c r="AL29" s="479">
        <v>0.90066402705600934</v>
      </c>
      <c r="AM29" s="479">
        <v>0.91062115400535348</v>
      </c>
      <c r="AN29" s="479">
        <v>0.96842425201050775</v>
      </c>
      <c r="AO29" s="479">
        <v>0.93080778493783767</v>
      </c>
      <c r="AP29" s="479">
        <v>0.95699585012925015</v>
      </c>
      <c r="AQ29" s="479">
        <v>0.92938409931873978</v>
      </c>
      <c r="AR29" s="479">
        <v>0.97102569766585667</v>
      </c>
      <c r="AS29" s="479">
        <v>0.96817621103572615</v>
      </c>
      <c r="AT29" s="479">
        <v>0.96668898560428529</v>
      </c>
      <c r="AV29" s="479"/>
      <c r="AW29" s="479"/>
      <c r="AX29" s="479"/>
      <c r="AY29" s="479"/>
      <c r="AZ29" s="479"/>
      <c r="BA29" s="479"/>
      <c r="BB29" s="479"/>
      <c r="BC29" s="479"/>
      <c r="BD29" s="479"/>
      <c r="BE29" s="479"/>
      <c r="BF29" s="479"/>
      <c r="BG29" s="479"/>
      <c r="BI29" s="235"/>
    </row>
    <row r="30" spans="2:61" x14ac:dyDescent="0.25">
      <c r="B30" s="235"/>
      <c r="D30" s="80">
        <f>'kWh Summary All RSs'!F40</f>
        <v>9912856653</v>
      </c>
      <c r="E30" s="80" t="str">
        <f>'kWh Summary All RSs'!I40</f>
        <v xml:space="preserve">RATE7   </v>
      </c>
      <c r="F30" s="81">
        <f>'kWh Summary All RSs'!J40/8760000</f>
        <v>0.2668862796260057</v>
      </c>
      <c r="G30" s="81">
        <f>'kWh Summary All RSs'!K40/8760000</f>
        <v>0.74585056039850561</v>
      </c>
      <c r="H30" s="81">
        <f>'kWh Summary All RSs'!L40/8760000</f>
        <v>0.66500788709007885</v>
      </c>
      <c r="I30" s="248">
        <f t="shared" si="7"/>
        <v>0.74585056039850561</v>
      </c>
      <c r="J30" s="288">
        <f>IF(MAX($F30:F30)&gt;$K$5,MAX($F30:F30),"")</f>
        <v>0.2668862796260057</v>
      </c>
      <c r="K30" s="237">
        <f>IF(MAX($F30:G30)&gt;$K$5,MAX($F30:G30),"")</f>
        <v>0.74585056039850561</v>
      </c>
      <c r="L30" s="256">
        <f>IF(MAX($F30:H30)&gt;$K$5,MAX($F30:H30),"")</f>
        <v>0.74585056039850561</v>
      </c>
      <c r="M30" s="255" t="str">
        <f>IF(MAX($F30:F30)&gt;$N$5,MAX($F30:F30),"")</f>
        <v/>
      </c>
      <c r="N30" s="237" t="str">
        <f>IF(MAX($F30:G30)&gt;$N$5,MAX($F30:G30),"")</f>
        <v/>
      </c>
      <c r="O30" s="256" t="str">
        <f>IF(MAX($F30:H30)&gt;$N$5,MAX($F30:H30),"")</f>
        <v/>
      </c>
      <c r="P30" s="255" t="str">
        <f>IF(MAX($F30:F30)&gt;$Q$5,MAX($F30:F30),"")</f>
        <v/>
      </c>
      <c r="Q30" s="237" t="str">
        <f>IF(MAX($F30:G30)&gt;$Q$5,MAX($F30:G30),"")</f>
        <v/>
      </c>
      <c r="R30" s="289" t="str">
        <f>IF(MAX($F30:H30)&gt;$Q$5,MAX($F30:H30),"")</f>
        <v/>
      </c>
      <c r="S30" s="288" t="str">
        <f t="shared" si="8"/>
        <v/>
      </c>
      <c r="T30" s="237">
        <f t="shared" si="9"/>
        <v>0.74585056039850561</v>
      </c>
      <c r="U30" s="256">
        <f t="shared" si="10"/>
        <v>0.66500788709007885</v>
      </c>
      <c r="V30" s="487" t="str">
        <f t="shared" si="11"/>
        <v/>
      </c>
      <c r="W30" s="237" t="str">
        <f t="shared" si="12"/>
        <v/>
      </c>
      <c r="X30" s="256" t="str">
        <f t="shared" si="13"/>
        <v/>
      </c>
      <c r="Y30" s="487" t="str">
        <f t="shared" si="14"/>
        <v/>
      </c>
      <c r="Z30" s="237" t="str">
        <f t="shared" si="15"/>
        <v/>
      </c>
      <c r="AA30" s="289" t="str">
        <f t="shared" si="16"/>
        <v/>
      </c>
      <c r="AC30" s="235"/>
      <c r="AE30" s="235"/>
      <c r="AG30" s="474">
        <v>3394380733</v>
      </c>
      <c r="AH30" s="80" t="s">
        <v>17</v>
      </c>
      <c r="AI30" s="479">
        <v>0.96678560968758032</v>
      </c>
      <c r="AJ30" s="479">
        <v>0.94000250250250228</v>
      </c>
      <c r="AK30" s="479">
        <v>0.93023325430466741</v>
      </c>
      <c r="AL30" s="479">
        <v>0.9437126478838882</v>
      </c>
      <c r="AM30" s="479">
        <v>0.87386836171635107</v>
      </c>
      <c r="AN30" s="479">
        <v>0.93157327896516162</v>
      </c>
      <c r="AO30" s="479">
        <v>0.89488388335952496</v>
      </c>
      <c r="AP30" s="479">
        <v>0.94071917769578806</v>
      </c>
      <c r="AQ30" s="479">
        <v>0.94778589719567796</v>
      </c>
      <c r="AR30" s="479">
        <v>0.94622447067640991</v>
      </c>
      <c r="AS30" s="479">
        <v>0.91613880385323809</v>
      </c>
      <c r="AT30" s="479">
        <v>0.94135987528480647</v>
      </c>
      <c r="AV30" s="479"/>
      <c r="AW30" s="479"/>
      <c r="AX30" s="479"/>
      <c r="AY30" s="479"/>
      <c r="AZ30" s="479"/>
      <c r="BA30" s="479"/>
      <c r="BB30" s="479"/>
      <c r="BC30" s="479"/>
      <c r="BD30" s="479"/>
      <c r="BE30" s="479"/>
      <c r="BF30" s="479"/>
      <c r="BG30" s="479"/>
      <c r="BI30" s="235"/>
    </row>
    <row r="31" spans="2:61" x14ac:dyDescent="0.25">
      <c r="B31" s="235"/>
      <c r="D31" s="80">
        <f>'kWh Summary All RSs'!F19</f>
        <v>9591881044</v>
      </c>
      <c r="E31" s="80" t="str">
        <f>'kWh Summary All RSs'!I19</f>
        <v xml:space="preserve">RATE7   </v>
      </c>
      <c r="F31" s="81">
        <f>'kWh Summary All RSs'!J19/8760000</f>
        <v>0.3666200644641418</v>
      </c>
      <c r="G31" s="81">
        <f>'kWh Summary All RSs'!K19/8760000</f>
        <v>0.8889598442116573</v>
      </c>
      <c r="H31" s="81">
        <f>'kWh Summary All RSs'!L19/8760000</f>
        <v>0.87214611872146119</v>
      </c>
      <c r="I31" s="248">
        <f t="shared" si="7"/>
        <v>0.8889598442116573</v>
      </c>
      <c r="J31" s="288">
        <f>IF(MAX($F31:F31)&gt;$K$5,MAX($F31:F31),"")</f>
        <v>0.3666200644641418</v>
      </c>
      <c r="K31" s="237">
        <f>IF(MAX($F31:G31)&gt;$K$5,MAX($F31:G31),"")</f>
        <v>0.8889598442116573</v>
      </c>
      <c r="L31" s="256">
        <f>IF(MAX($F31:H31)&gt;$K$5,MAX($F31:H31),"")</f>
        <v>0.8889598442116573</v>
      </c>
      <c r="M31" s="255" t="str">
        <f>IF(MAX($F31:F31)&gt;$N$5,MAX($F31:F31),"")</f>
        <v/>
      </c>
      <c r="N31" s="237" t="str">
        <f>IF(MAX($F31:G31)&gt;$N$5,MAX($F31:G31),"")</f>
        <v/>
      </c>
      <c r="O31" s="256" t="str">
        <f>IF(MAX($F31:H31)&gt;$N$5,MAX($F31:H31),"")</f>
        <v/>
      </c>
      <c r="P31" s="255" t="str">
        <f>IF(MAX($F31:F31)&gt;$Q$5,MAX($F31:F31),"")</f>
        <v/>
      </c>
      <c r="Q31" s="237" t="str">
        <f>IF(MAX($F31:G31)&gt;$Q$5,MAX($F31:G31),"")</f>
        <v/>
      </c>
      <c r="R31" s="289" t="str">
        <f>IF(MAX($F31:H31)&gt;$Q$5,MAX($F31:H31),"")</f>
        <v/>
      </c>
      <c r="S31" s="288" t="str">
        <f t="shared" si="8"/>
        <v/>
      </c>
      <c r="T31" s="237">
        <f t="shared" si="9"/>
        <v>0.8889598442116573</v>
      </c>
      <c r="U31" s="256">
        <f t="shared" si="10"/>
        <v>0.87214611872146119</v>
      </c>
      <c r="V31" s="487" t="str">
        <f t="shared" si="11"/>
        <v/>
      </c>
      <c r="W31" s="237" t="str">
        <f t="shared" si="12"/>
        <v/>
      </c>
      <c r="X31" s="256" t="str">
        <f t="shared" si="13"/>
        <v/>
      </c>
      <c r="Y31" s="487" t="str">
        <f t="shared" si="14"/>
        <v/>
      </c>
      <c r="Z31" s="237" t="str">
        <f t="shared" si="15"/>
        <v/>
      </c>
      <c r="AA31" s="289" t="str">
        <f t="shared" si="16"/>
        <v/>
      </c>
      <c r="AC31" s="235"/>
      <c r="AE31" s="235"/>
      <c r="AG31" s="474">
        <v>7221004197</v>
      </c>
      <c r="AH31" s="80" t="s">
        <v>17</v>
      </c>
      <c r="AI31" s="479">
        <v>0.96614525332837031</v>
      </c>
      <c r="AJ31" s="479">
        <v>0.97348766579893387</v>
      </c>
      <c r="AK31" s="479">
        <v>0.92870203088723535</v>
      </c>
      <c r="AL31" s="479">
        <v>0.82880395079045033</v>
      </c>
      <c r="AM31" s="479">
        <v>0.9006187255712873</v>
      </c>
      <c r="AN31" s="479">
        <v>0.85909263349204057</v>
      </c>
      <c r="AO31" s="479"/>
      <c r="AP31" s="479"/>
      <c r="AQ31" s="479">
        <v>0.95659418734218626</v>
      </c>
      <c r="AR31" s="479">
        <v>0.96688140621195029</v>
      </c>
      <c r="AS31" s="479">
        <v>0.93530318284583869</v>
      </c>
      <c r="AT31" s="479">
        <v>0.76605752282709205</v>
      </c>
      <c r="AV31" s="479"/>
      <c r="AW31" s="479"/>
      <c r="AX31" s="479"/>
      <c r="AY31" s="479"/>
      <c r="AZ31" s="479"/>
      <c r="BA31" s="479"/>
      <c r="BB31" s="479"/>
      <c r="BC31" s="479"/>
      <c r="BD31" s="479"/>
      <c r="BE31" s="479"/>
      <c r="BF31" s="479"/>
      <c r="BG31" s="479"/>
      <c r="BI31" s="235"/>
    </row>
    <row r="32" spans="2:61" x14ac:dyDescent="0.25">
      <c r="B32" s="235"/>
      <c r="D32" s="80">
        <f>'kWh Summary All RSs'!F33</f>
        <v>1114177282</v>
      </c>
      <c r="E32" s="80" t="str">
        <f>'kWh Summary All RSs'!I33</f>
        <v xml:space="preserve">RATE7   </v>
      </c>
      <c r="F32" s="81">
        <f>'kWh Summary All RSs'!J33/8760000</f>
        <v>3.6048885307547679E-3</v>
      </c>
      <c r="G32" s="81">
        <f>'kWh Summary All RSs'!K33/8760000</f>
        <v>0.24882475032354162</v>
      </c>
      <c r="H32" s="81">
        <f>'kWh Summary All RSs'!L33/8760000</f>
        <v>0.89767538397675384</v>
      </c>
      <c r="I32" s="248">
        <f t="shared" si="7"/>
        <v>0.89767538397675384</v>
      </c>
      <c r="J32" s="288" t="str">
        <f>IF(MAX($F32:F32)&gt;$K$5,MAX($F32:F32),"")</f>
        <v/>
      </c>
      <c r="K32" s="237">
        <f>IF(MAX($F32:G32)&gt;$K$5,MAX($F32:G32),"")</f>
        <v>0.24882475032354162</v>
      </c>
      <c r="L32" s="256">
        <f>IF(MAX($F32:H32)&gt;$K$5,MAX($F32:H32),"")</f>
        <v>0.89767538397675384</v>
      </c>
      <c r="M32" s="255" t="str">
        <f>IF(MAX($F32:F32)&gt;$N$5,MAX($F32:F32),"")</f>
        <v/>
      </c>
      <c r="N32" s="237" t="str">
        <f>IF(MAX($F32:G32)&gt;$N$5,MAX($F32:G32),"")</f>
        <v/>
      </c>
      <c r="O32" s="256" t="str">
        <f>IF(MAX($F32:H32)&gt;$N$5,MAX($F32:H32),"")</f>
        <v/>
      </c>
      <c r="P32" s="255" t="str">
        <f>IF(MAX($F32:F32)&gt;$Q$5,MAX($F32:F32),"")</f>
        <v/>
      </c>
      <c r="Q32" s="237" t="str">
        <f>IF(MAX($F32:G32)&gt;$Q$5,MAX($F32:G32),"")</f>
        <v/>
      </c>
      <c r="R32" s="289" t="str">
        <f>IF(MAX($F32:H32)&gt;$Q$5,MAX($F32:H32),"")</f>
        <v/>
      </c>
      <c r="S32" s="288" t="str">
        <f t="shared" si="8"/>
        <v/>
      </c>
      <c r="T32" s="237" t="str">
        <f t="shared" si="9"/>
        <v/>
      </c>
      <c r="U32" s="256">
        <f t="shared" si="10"/>
        <v>0.89767538397675384</v>
      </c>
      <c r="V32" s="487" t="str">
        <f t="shared" si="11"/>
        <v/>
      </c>
      <c r="W32" s="237" t="str">
        <f t="shared" si="12"/>
        <v/>
      </c>
      <c r="X32" s="256" t="str">
        <f t="shared" si="13"/>
        <v/>
      </c>
      <c r="Y32" s="487" t="str">
        <f t="shared" si="14"/>
        <v/>
      </c>
      <c r="Z32" s="237" t="str">
        <f t="shared" si="15"/>
        <v/>
      </c>
      <c r="AA32" s="289" t="str">
        <f t="shared" si="16"/>
        <v/>
      </c>
      <c r="AC32" s="235"/>
      <c r="AE32" s="235"/>
      <c r="AG32" s="476">
        <v>9912856653</v>
      </c>
      <c r="AH32" s="84" t="s">
        <v>17</v>
      </c>
      <c r="AI32" s="481">
        <v>0.97870341371750702</v>
      </c>
      <c r="AJ32" s="481">
        <v>0.97556764223430881</v>
      </c>
      <c r="AK32" s="481">
        <v>0.96266532730621135</v>
      </c>
      <c r="AL32" s="481">
        <v>0.94814189641775848</v>
      </c>
      <c r="AM32" s="481">
        <v>0.94313832695462008</v>
      </c>
      <c r="AN32" s="481">
        <v>0.92133230307800806</v>
      </c>
      <c r="AO32" s="481">
        <v>0.95727237654320996</v>
      </c>
      <c r="AP32" s="481">
        <v>0.95497852650371406</v>
      </c>
      <c r="AQ32" s="481">
        <v>0.93175669372142911</v>
      </c>
      <c r="AR32" s="481">
        <v>0.9728113585483682</v>
      </c>
      <c r="AS32" s="481">
        <v>0.90466540711847876</v>
      </c>
      <c r="AT32" s="481">
        <v>0.93389786470143621</v>
      </c>
      <c r="AV32" s="481"/>
      <c r="AW32" s="481"/>
      <c r="AX32" s="481"/>
      <c r="AY32" s="481"/>
      <c r="AZ32" s="481"/>
      <c r="BA32" s="481"/>
      <c r="BB32" s="481"/>
      <c r="BC32" s="481"/>
      <c r="BD32" s="481"/>
      <c r="BE32" s="481"/>
      <c r="BF32" s="481"/>
      <c r="BG32" s="481"/>
      <c r="BI32" s="235"/>
    </row>
    <row r="33" spans="2:61" x14ac:dyDescent="0.25">
      <c r="B33" s="235"/>
      <c r="D33" s="80">
        <f>'kWh Summary All RSs'!F36</f>
        <v>870953315</v>
      </c>
      <c r="E33" s="80" t="str">
        <f>'kWh Summary All RSs'!I36</f>
        <v xml:space="preserve">RATE7   </v>
      </c>
      <c r="F33" s="81">
        <f>'kWh Summary All RSs'!J36/8760000</f>
        <v>0.43390162795314674</v>
      </c>
      <c r="G33" s="81">
        <f>'kWh Summary All RSs'!K36/8760000</f>
        <v>1.1629047322540473</v>
      </c>
      <c r="H33" s="81">
        <f>'kWh Summary All RSs'!L36/8760000</f>
        <v>1.1794331672893317</v>
      </c>
      <c r="I33" s="248">
        <f t="shared" si="7"/>
        <v>1.1794331672893317</v>
      </c>
      <c r="J33" s="288">
        <f>IF(MAX($F33:F33)&gt;$K$5,MAX($F33:F33),"")</f>
        <v>0.43390162795314674</v>
      </c>
      <c r="K33" s="237">
        <f>IF(MAX($F33:G33)&gt;$K$5,MAX($F33:G33),"")</f>
        <v>1.1629047322540473</v>
      </c>
      <c r="L33" s="256">
        <f>IF(MAX($F33:H33)&gt;$K$5,MAX($F33:H33),"")</f>
        <v>1.1794331672893317</v>
      </c>
      <c r="M33" s="255" t="str">
        <f>IF(MAX($F33:F33)&gt;$N$5,MAX($F33:F33),"")</f>
        <v/>
      </c>
      <c r="N33" s="237">
        <f>IF(MAX($F33:G33)&gt;$N$5,MAX($F33:G33),"")</f>
        <v>1.1629047322540473</v>
      </c>
      <c r="O33" s="256">
        <f>IF(MAX($F33:H33)&gt;$N$5,MAX($F33:H33),"")</f>
        <v>1.1794331672893317</v>
      </c>
      <c r="P33" s="255" t="str">
        <f>IF(MAX($F33:F33)&gt;$Q$5,MAX($F33:F33),"")</f>
        <v/>
      </c>
      <c r="Q33" s="237" t="str">
        <f>IF(MAX($F33:G33)&gt;$Q$5,MAX($F33:G33),"")</f>
        <v/>
      </c>
      <c r="R33" s="289" t="str">
        <f>IF(MAX($F33:H33)&gt;$Q$5,MAX($F33:H33),"")</f>
        <v/>
      </c>
      <c r="S33" s="288" t="str">
        <f t="shared" si="8"/>
        <v/>
      </c>
      <c r="T33" s="237">
        <f t="shared" si="9"/>
        <v>1.1629047322540473</v>
      </c>
      <c r="U33" s="256">
        <f t="shared" si="10"/>
        <v>1.1794331672893317</v>
      </c>
      <c r="V33" s="487" t="str">
        <f t="shared" si="11"/>
        <v/>
      </c>
      <c r="W33" s="237">
        <f t="shared" si="12"/>
        <v>1.1629047322540473</v>
      </c>
      <c r="X33" s="256">
        <f t="shared" si="13"/>
        <v>1.1794331672893317</v>
      </c>
      <c r="Y33" s="487" t="str">
        <f t="shared" si="14"/>
        <v/>
      </c>
      <c r="Z33" s="237" t="str">
        <f t="shared" si="15"/>
        <v/>
      </c>
      <c r="AA33" s="289" t="str">
        <f t="shared" si="16"/>
        <v/>
      </c>
      <c r="AC33" s="235"/>
      <c r="AE33" s="235"/>
      <c r="AG33" s="12"/>
      <c r="AH33" s="12"/>
      <c r="AI33" s="301">
        <f>AVERAGE(AI8:AI32)</f>
        <v>0.95052328476898618</v>
      </c>
      <c r="AJ33" s="301">
        <f t="shared" ref="AJ33:AT33" si="17">AVERAGE(AJ8:AJ32)</f>
        <v>0.94630210086884126</v>
      </c>
      <c r="AK33" s="301">
        <f t="shared" si="17"/>
        <v>0.92969317380870076</v>
      </c>
      <c r="AL33" s="301">
        <f t="shared" si="17"/>
        <v>0.89687562091293493</v>
      </c>
      <c r="AM33" s="301">
        <f t="shared" si="17"/>
        <v>0.89927924086692679</v>
      </c>
      <c r="AN33" s="301">
        <f t="shared" si="17"/>
        <v>0.92177060659270804</v>
      </c>
      <c r="AO33" s="301">
        <f t="shared" si="17"/>
        <v>0.94252087289397601</v>
      </c>
      <c r="AP33" s="301">
        <f t="shared" si="17"/>
        <v>0.9234172600965469</v>
      </c>
      <c r="AQ33" s="301">
        <f t="shared" si="17"/>
        <v>0.93877351929734709</v>
      </c>
      <c r="AR33" s="301">
        <f t="shared" si="17"/>
        <v>0.94049330419767441</v>
      </c>
      <c r="AS33" s="301">
        <f t="shared" si="17"/>
        <v>0.93781298151360182</v>
      </c>
      <c r="AT33" s="301">
        <f t="shared" si="17"/>
        <v>0.92308837642801389</v>
      </c>
      <c r="BI33" s="235"/>
    </row>
    <row r="34" spans="2:61" x14ac:dyDescent="0.25">
      <c r="B34" s="235"/>
      <c r="D34" s="80">
        <f>'kWh Summary All RSs'!F28</f>
        <v>4831874580</v>
      </c>
      <c r="E34" s="80" t="str">
        <f>'kWh Summary All RSs'!I28</f>
        <v xml:space="preserve">RATE7   </v>
      </c>
      <c r="F34" s="81">
        <f>'kWh Summary All RSs'!J28/8760000</f>
        <v>0</v>
      </c>
      <c r="G34" s="81">
        <f>'kWh Summary All RSs'!K28/8760000</f>
        <v>0.65050228310502289</v>
      </c>
      <c r="H34" s="81">
        <f>'kWh Summary All RSs'!L28/8760000</f>
        <v>1.5004929431299294</v>
      </c>
      <c r="I34" s="248">
        <f t="shared" si="7"/>
        <v>1.5004929431299294</v>
      </c>
      <c r="J34" s="288" t="str">
        <f>IF(MAX($F34:F34)&gt;$K$5,MAX($F34:F34),"")</f>
        <v/>
      </c>
      <c r="K34" s="237">
        <f>IF(MAX($F34:G34)&gt;$K$5,MAX($F34:G34),"")</f>
        <v>0.65050228310502289</v>
      </c>
      <c r="L34" s="256">
        <f>IF(MAX($F34:H34)&gt;$K$5,MAX($F34:H34),"")</f>
        <v>1.5004929431299294</v>
      </c>
      <c r="M34" s="255" t="str">
        <f>IF(MAX($F34:F34)&gt;$N$5,MAX($F34:F34),"")</f>
        <v/>
      </c>
      <c r="N34" s="237" t="str">
        <f>IF(MAX($F34:G34)&gt;$N$5,MAX($F34:G34),"")</f>
        <v/>
      </c>
      <c r="O34" s="256">
        <f>IF(MAX($F34:H34)&gt;$N$5,MAX($F34:H34),"")</f>
        <v>1.5004929431299294</v>
      </c>
      <c r="P34" s="255" t="str">
        <f>IF(MAX($F34:F34)&gt;$Q$5,MAX($F34:F34),"")</f>
        <v/>
      </c>
      <c r="Q34" s="237" t="str">
        <f>IF(MAX($F34:G34)&gt;$Q$5,MAX($F34:G34),"")</f>
        <v/>
      </c>
      <c r="R34" s="289">
        <f>IF(MAX($F34:H34)&gt;$Q$5,MAX($F34:H34),"")</f>
        <v>1.5004929431299294</v>
      </c>
      <c r="S34" s="288" t="str">
        <f t="shared" si="8"/>
        <v/>
      </c>
      <c r="T34" s="237">
        <f t="shared" si="9"/>
        <v>0.65050228310502289</v>
      </c>
      <c r="U34" s="256">
        <f t="shared" si="10"/>
        <v>1.5004929431299294</v>
      </c>
      <c r="V34" s="487" t="str">
        <f t="shared" si="11"/>
        <v/>
      </c>
      <c r="W34" s="237" t="str">
        <f t="shared" si="12"/>
        <v/>
      </c>
      <c r="X34" s="256">
        <f t="shared" si="13"/>
        <v>1.5004929431299294</v>
      </c>
      <c r="Y34" s="487" t="str">
        <f t="shared" si="14"/>
        <v/>
      </c>
      <c r="Z34" s="237" t="str">
        <f t="shared" si="15"/>
        <v/>
      </c>
      <c r="AA34" s="289">
        <f t="shared" si="16"/>
        <v>1.5004929431299294</v>
      </c>
      <c r="AC34" s="235"/>
      <c r="AE34" s="235"/>
      <c r="AJ34" s="301"/>
      <c r="AK34" s="301"/>
      <c r="AL34" s="301"/>
      <c r="AM34" s="301"/>
      <c r="AN34" s="301"/>
      <c r="AO34" s="301"/>
      <c r="AP34" s="301"/>
      <c r="AQ34" s="301"/>
      <c r="AR34" s="301"/>
      <c r="AS34" s="301"/>
      <c r="AT34" s="301"/>
      <c r="BI34" s="235"/>
    </row>
    <row r="35" spans="2:61" x14ac:dyDescent="0.25">
      <c r="B35" s="235"/>
      <c r="D35" s="80">
        <f>'kWh Summary All RSs'!F31</f>
        <v>5142999910</v>
      </c>
      <c r="E35" s="80" t="str">
        <f>'kWh Summary All RSs'!I31</f>
        <v xml:space="preserve">RATE7   </v>
      </c>
      <c r="F35" s="81">
        <f>'kWh Summary All RSs'!J31/8760000</f>
        <v>0.11724473350984231</v>
      </c>
      <c r="G35" s="81">
        <f>'kWh Summary All RSs'!K31/8760000</f>
        <v>1.5609611135660628</v>
      </c>
      <c r="H35" s="81">
        <f>'kWh Summary All RSs'!L31/8760000</f>
        <v>0.25573679559039003</v>
      </c>
      <c r="I35" s="248">
        <f t="shared" si="7"/>
        <v>1.5609611135660628</v>
      </c>
      <c r="J35" s="288" t="str">
        <f>IF(MAX($F35:F35)&gt;$K$5,MAX($F35:F35),"")</f>
        <v/>
      </c>
      <c r="K35" s="237">
        <f>IF(MAX($F35:G35)&gt;$K$5,MAX($F35:G35),"")</f>
        <v>1.5609611135660628</v>
      </c>
      <c r="L35" s="256">
        <f>IF(MAX($F35:H35)&gt;$K$5,MAX($F35:H35),"")</f>
        <v>1.5609611135660628</v>
      </c>
      <c r="M35" s="255" t="str">
        <f>IF(MAX($F35:F35)&gt;$N$5,MAX($F35:F35),"")</f>
        <v/>
      </c>
      <c r="N35" s="237">
        <f>IF(MAX($F35:G35)&gt;$N$5,MAX($F35:G35),"")</f>
        <v>1.5609611135660628</v>
      </c>
      <c r="O35" s="256">
        <f>IF(MAX($F35:H35)&gt;$N$5,MAX($F35:H35),"")</f>
        <v>1.5609611135660628</v>
      </c>
      <c r="P35" s="255" t="str">
        <f>IF(MAX($F35:F35)&gt;$Q$5,MAX($F35:F35),"")</f>
        <v/>
      </c>
      <c r="Q35" s="237">
        <f>IF(MAX($F35:G35)&gt;$Q$5,MAX($F35:G35),"")</f>
        <v>1.5609611135660628</v>
      </c>
      <c r="R35" s="289">
        <f>IF(MAX($F35:H35)&gt;$Q$5,MAX($F35:H35),"")</f>
        <v>1.5609611135660628</v>
      </c>
      <c r="S35" s="288" t="str">
        <f t="shared" si="8"/>
        <v/>
      </c>
      <c r="T35" s="237">
        <f t="shared" si="9"/>
        <v>1.5609611135660628</v>
      </c>
      <c r="U35" s="256" t="str">
        <f t="shared" si="10"/>
        <v/>
      </c>
      <c r="V35" s="487" t="str">
        <f t="shared" si="11"/>
        <v/>
      </c>
      <c r="W35" s="237">
        <f t="shared" si="12"/>
        <v>1.5609611135660628</v>
      </c>
      <c r="X35" s="256" t="str">
        <f t="shared" si="13"/>
        <v/>
      </c>
      <c r="Y35" s="487" t="str">
        <f t="shared" si="14"/>
        <v/>
      </c>
      <c r="Z35" s="237">
        <f t="shared" si="15"/>
        <v>1.5609611135660628</v>
      </c>
      <c r="AA35" s="289" t="str">
        <f t="shared" si="16"/>
        <v/>
      </c>
      <c r="AC35" s="235"/>
      <c r="AE35" s="235"/>
      <c r="AJ35" s="301"/>
      <c r="AK35" s="301"/>
      <c r="AL35" s="301"/>
      <c r="AM35" s="301"/>
      <c r="AN35" s="301"/>
      <c r="AO35" s="301"/>
      <c r="AP35" s="301"/>
      <c r="AQ35" s="301"/>
      <c r="AR35" s="301"/>
      <c r="AS35" s="301"/>
      <c r="AT35" s="301"/>
      <c r="BI35" s="235"/>
    </row>
    <row r="36" spans="2:61" x14ac:dyDescent="0.25">
      <c r="B36" s="235"/>
      <c r="D36" s="80">
        <f>'kWh Summary All RSs'!F32</f>
        <v>3990089383</v>
      </c>
      <c r="E36" s="80" t="str">
        <f>'kWh Summary All RSs'!I32</f>
        <v xml:space="preserve">RATE7   </v>
      </c>
      <c r="F36" s="81">
        <f>'kWh Summary All RSs'!J32/8760000</f>
        <v>1.604938867353529</v>
      </c>
      <c r="G36" s="81">
        <f>'kWh Summary All RSs'!K32/8760000</f>
        <v>1.4569713550466583</v>
      </c>
      <c r="H36" s="81">
        <f>'kWh Summary All RSs'!L32/8760000</f>
        <v>1.0440795825179385</v>
      </c>
      <c r="I36" s="248">
        <f t="shared" si="7"/>
        <v>1.604938867353529</v>
      </c>
      <c r="J36" s="288">
        <f>IF(MAX($F36:F36)&gt;$K$5,MAX($F36:F36),"")</f>
        <v>1.604938867353529</v>
      </c>
      <c r="K36" s="237">
        <f>IF(MAX($F36:G36)&gt;$K$5,MAX($F36:G36),"")</f>
        <v>1.604938867353529</v>
      </c>
      <c r="L36" s="256">
        <f>IF(MAX($F36:H36)&gt;$K$5,MAX($F36:H36),"")</f>
        <v>1.604938867353529</v>
      </c>
      <c r="M36" s="255">
        <f>IF(MAX($F36:F36)&gt;$N$5,MAX($F36:F36),"")</f>
        <v>1.604938867353529</v>
      </c>
      <c r="N36" s="237">
        <f>IF(MAX($F36:G36)&gt;$N$5,MAX($F36:G36),"")</f>
        <v>1.604938867353529</v>
      </c>
      <c r="O36" s="256">
        <f>IF(MAX($F36:H36)&gt;$N$5,MAX($F36:H36),"")</f>
        <v>1.604938867353529</v>
      </c>
      <c r="P36" s="255">
        <f>IF(MAX($F36:F36)&gt;$Q$5,MAX($F36:F36),"")</f>
        <v>1.604938867353529</v>
      </c>
      <c r="Q36" s="237">
        <f>IF(MAX($F36:G36)&gt;$Q$5,MAX($F36:G36),"")</f>
        <v>1.604938867353529</v>
      </c>
      <c r="R36" s="289">
        <f>IF(MAX($F36:H36)&gt;$Q$5,MAX($F36:H36),"")</f>
        <v>1.604938867353529</v>
      </c>
      <c r="S36" s="288">
        <f t="shared" si="8"/>
        <v>1.604938867353529</v>
      </c>
      <c r="T36" s="237">
        <f t="shared" si="9"/>
        <v>1.4569713550466583</v>
      </c>
      <c r="U36" s="256">
        <f t="shared" si="10"/>
        <v>1.0440795825179385</v>
      </c>
      <c r="V36" s="487">
        <f t="shared" si="11"/>
        <v>1.604938867353529</v>
      </c>
      <c r="W36" s="237">
        <f t="shared" si="12"/>
        <v>1.4569713550466583</v>
      </c>
      <c r="X36" s="256">
        <f t="shared" si="13"/>
        <v>1.0440795825179385</v>
      </c>
      <c r="Y36" s="487">
        <f t="shared" si="14"/>
        <v>1.604938867353529</v>
      </c>
      <c r="Z36" s="237" t="str">
        <f t="shared" si="15"/>
        <v/>
      </c>
      <c r="AA36" s="289" t="str">
        <f t="shared" si="16"/>
        <v/>
      </c>
      <c r="AC36" s="235"/>
      <c r="AE36" s="235"/>
      <c r="BI36" s="235"/>
    </row>
    <row r="37" spans="2:61" x14ac:dyDescent="0.25">
      <c r="B37" s="235"/>
      <c r="D37" s="82">
        <f>'kWh Summary All RSs'!F24</f>
        <v>2260246826</v>
      </c>
      <c r="E37" s="82" t="str">
        <f>'kWh Summary All RSs'!I24</f>
        <v xml:space="preserve">RATE7   </v>
      </c>
      <c r="F37" s="83">
        <f>'kWh Summary All RSs'!J24/8760000</f>
        <v>1.5309919311820388</v>
      </c>
      <c r="G37" s="83">
        <f>'kWh Summary All RSs'!K24/8760000</f>
        <v>1.9279030958384238</v>
      </c>
      <c r="H37" s="83">
        <f>'kWh Summary All RSs'!L24/8760000</f>
        <v>1.8407466489910149</v>
      </c>
      <c r="I37" s="248">
        <f t="shared" si="7"/>
        <v>1.9279030958384238</v>
      </c>
      <c r="J37" s="288">
        <f>IF(MAX($F37:F37)&gt;$K$5,MAX($F37:F37),"")</f>
        <v>1.5309919311820388</v>
      </c>
      <c r="K37" s="237">
        <f>IF(MAX($F37:G37)&gt;$K$5,MAX($F37:G37),"")</f>
        <v>1.9279030958384238</v>
      </c>
      <c r="L37" s="256">
        <f>IF(MAX($F37:H37)&gt;$K$5,MAX($F37:H37),"")</f>
        <v>1.9279030958384238</v>
      </c>
      <c r="M37" s="255">
        <f>IF(MAX($F37:F37)&gt;$N$5,MAX($F37:F37),"")</f>
        <v>1.5309919311820388</v>
      </c>
      <c r="N37" s="237">
        <f>IF(MAX($F37:G37)&gt;$N$5,MAX($F37:G37),"")</f>
        <v>1.9279030958384238</v>
      </c>
      <c r="O37" s="256">
        <f>IF(MAX($F37:H37)&gt;$N$5,MAX($F37:H37),"")</f>
        <v>1.9279030958384238</v>
      </c>
      <c r="P37" s="255">
        <f>IF(MAX($F37:F37)&gt;$Q$5,MAX($F37:F37),"")</f>
        <v>1.5309919311820388</v>
      </c>
      <c r="Q37" s="237">
        <f>IF(MAX($F37:G37)&gt;$Q$5,MAX($F37:G37),"")</f>
        <v>1.9279030958384238</v>
      </c>
      <c r="R37" s="289">
        <f>IF(MAX($F37:H37)&gt;$Q$5,MAX($F37:H37),"")</f>
        <v>1.9279030958384238</v>
      </c>
      <c r="S37" s="288">
        <f t="shared" si="8"/>
        <v>1.5309919311820388</v>
      </c>
      <c r="T37" s="237">
        <f t="shared" si="9"/>
        <v>1.9279030958384238</v>
      </c>
      <c r="U37" s="256">
        <f t="shared" si="10"/>
        <v>1.8407466489910149</v>
      </c>
      <c r="V37" s="487">
        <f t="shared" si="11"/>
        <v>1.5309919311820388</v>
      </c>
      <c r="W37" s="237">
        <f t="shared" si="12"/>
        <v>1.9279030958384238</v>
      </c>
      <c r="X37" s="256">
        <f t="shared" si="13"/>
        <v>1.8407466489910149</v>
      </c>
      <c r="Y37" s="487">
        <f t="shared" si="14"/>
        <v>1.5309919311820388</v>
      </c>
      <c r="Z37" s="237">
        <f t="shared" si="15"/>
        <v>1.9279030958384238</v>
      </c>
      <c r="AA37" s="289">
        <f t="shared" si="16"/>
        <v>1.8407466489910149</v>
      </c>
      <c r="AC37" s="235"/>
      <c r="AE37" s="235"/>
      <c r="BI37" s="235"/>
    </row>
    <row r="38" spans="2:61" x14ac:dyDescent="0.25">
      <c r="B38" s="235"/>
      <c r="D38" s="80">
        <f>'kWh Summary All RSs'!F23</f>
        <v>6278239538</v>
      </c>
      <c r="E38" s="80" t="str">
        <f>'kWh Summary All RSs'!I23</f>
        <v xml:space="preserve">RATE7   </v>
      </c>
      <c r="F38" s="81">
        <f>'kWh Summary All RSs'!J23/8760000</f>
        <v>0</v>
      </c>
      <c r="G38" s="81">
        <f>'kWh Summary All RSs'!K23/8760000</f>
        <v>0</v>
      </c>
      <c r="H38" s="81">
        <f>'kWh Summary All RSs'!L23/8760000</f>
        <v>2.2597602739726028</v>
      </c>
      <c r="I38" s="248">
        <f t="shared" si="7"/>
        <v>2.2597602739726028</v>
      </c>
      <c r="J38" s="288" t="str">
        <f>IF(MAX($F38:F38)&gt;$K$5,MAX($F38:F38),"")</f>
        <v/>
      </c>
      <c r="K38" s="237" t="str">
        <f>IF(MAX($F38:G38)&gt;$K$5,MAX($F38:G38),"")</f>
        <v/>
      </c>
      <c r="L38" s="256">
        <f>IF(MAX($F38:H38)&gt;$K$5,MAX($F38:H38),"")</f>
        <v>2.2597602739726028</v>
      </c>
      <c r="M38" s="255" t="str">
        <f>IF(MAX($F38:F38)&gt;$N$5,MAX($F38:F38),"")</f>
        <v/>
      </c>
      <c r="N38" s="237" t="str">
        <f>IF(MAX($F38:G38)&gt;$N$5,MAX($F38:G38),"")</f>
        <v/>
      </c>
      <c r="O38" s="256">
        <f>IF(MAX($F38:H38)&gt;$N$5,MAX($F38:H38),"")</f>
        <v>2.2597602739726028</v>
      </c>
      <c r="P38" s="255" t="str">
        <f>IF(MAX($F38:F38)&gt;$Q$5,MAX($F38:F38),"")</f>
        <v/>
      </c>
      <c r="Q38" s="237" t="str">
        <f>IF(MAX($F38:G38)&gt;$Q$5,MAX($F38:G38),"")</f>
        <v/>
      </c>
      <c r="R38" s="289">
        <f>IF(MAX($F38:H38)&gt;$Q$5,MAX($F38:H38),"")</f>
        <v>2.2597602739726028</v>
      </c>
      <c r="S38" s="288" t="str">
        <f t="shared" si="8"/>
        <v/>
      </c>
      <c r="T38" s="237" t="str">
        <f t="shared" si="9"/>
        <v/>
      </c>
      <c r="U38" s="256">
        <f t="shared" si="10"/>
        <v>2.2597602739726028</v>
      </c>
      <c r="V38" s="487" t="str">
        <f t="shared" si="11"/>
        <v/>
      </c>
      <c r="W38" s="237" t="str">
        <f t="shared" si="12"/>
        <v/>
      </c>
      <c r="X38" s="256">
        <f t="shared" si="13"/>
        <v>2.2597602739726028</v>
      </c>
      <c r="Y38" s="487" t="str">
        <f t="shared" si="14"/>
        <v/>
      </c>
      <c r="Z38" s="237" t="str">
        <f t="shared" si="15"/>
        <v/>
      </c>
      <c r="AA38" s="289">
        <f t="shared" si="16"/>
        <v>2.2597602739726028</v>
      </c>
      <c r="AC38" s="235"/>
      <c r="AE38" s="235"/>
      <c r="BI38" s="235"/>
    </row>
    <row r="39" spans="2:61" x14ac:dyDescent="0.25">
      <c r="B39" s="235"/>
      <c r="D39" s="80">
        <f>'kWh Summary All RSs'!F27</f>
        <v>494209150</v>
      </c>
      <c r="E39" s="80" t="str">
        <f>'kWh Summary All RSs'!I27</f>
        <v xml:space="preserve">RATE7   </v>
      </c>
      <c r="F39" s="81">
        <f>'kWh Summary All RSs'!J27/8760000</f>
        <v>0</v>
      </c>
      <c r="G39" s="81">
        <f>'kWh Summary All RSs'!K27/8760000</f>
        <v>2.7832022389158935</v>
      </c>
      <c r="H39" s="81">
        <f>'kWh Summary All RSs'!L27/8760000</f>
        <v>1.9131709246077189</v>
      </c>
      <c r="I39" s="248">
        <f t="shared" si="7"/>
        <v>2.7832022389158935</v>
      </c>
      <c r="J39" s="288" t="str">
        <f>IF(MAX($F39:F39)&gt;$K$5,MAX($F39:F39),"")</f>
        <v/>
      </c>
      <c r="K39" s="237">
        <f>IF(MAX($F39:G39)&gt;$K$5,MAX($F39:G39),"")</f>
        <v>2.7832022389158935</v>
      </c>
      <c r="L39" s="256">
        <f>IF(MAX($F39:H39)&gt;$K$5,MAX($F39:H39),"")</f>
        <v>2.7832022389158935</v>
      </c>
      <c r="M39" s="255" t="str">
        <f>IF(MAX($F39:F39)&gt;$N$5,MAX($F39:F39),"")</f>
        <v/>
      </c>
      <c r="N39" s="237">
        <f>IF(MAX($F39:G39)&gt;$N$5,MAX($F39:G39),"")</f>
        <v>2.7832022389158935</v>
      </c>
      <c r="O39" s="256">
        <f>IF(MAX($F39:H39)&gt;$N$5,MAX($F39:H39),"")</f>
        <v>2.7832022389158935</v>
      </c>
      <c r="P39" s="255" t="str">
        <f>IF(MAX($F39:F39)&gt;$Q$5,MAX($F39:F39),"")</f>
        <v/>
      </c>
      <c r="Q39" s="237">
        <f>IF(MAX($F39:G39)&gt;$Q$5,MAX($F39:G39),"")</f>
        <v>2.7832022389158935</v>
      </c>
      <c r="R39" s="289">
        <f>IF(MAX($F39:H39)&gt;$Q$5,MAX($F39:H39),"")</f>
        <v>2.7832022389158935</v>
      </c>
      <c r="S39" s="288" t="str">
        <f t="shared" si="8"/>
        <v/>
      </c>
      <c r="T39" s="237">
        <f t="shared" si="9"/>
        <v>2.7832022389158935</v>
      </c>
      <c r="U39" s="256">
        <f t="shared" si="10"/>
        <v>1.9131709246077189</v>
      </c>
      <c r="V39" s="487" t="str">
        <f t="shared" si="11"/>
        <v/>
      </c>
      <c r="W39" s="237">
        <f t="shared" si="12"/>
        <v>2.7832022389158935</v>
      </c>
      <c r="X39" s="256">
        <f t="shared" si="13"/>
        <v>1.9131709246077189</v>
      </c>
      <c r="Y39" s="487" t="str">
        <f t="shared" si="14"/>
        <v/>
      </c>
      <c r="Z39" s="237">
        <f t="shared" si="15"/>
        <v>2.7832022389158935</v>
      </c>
      <c r="AA39" s="289">
        <f t="shared" si="16"/>
        <v>1.9131709246077189</v>
      </c>
      <c r="AC39" s="235"/>
      <c r="AE39" s="235"/>
      <c r="BI39" s="235"/>
    </row>
    <row r="40" spans="2:61" x14ac:dyDescent="0.25">
      <c r="B40" s="235"/>
      <c r="D40" s="80">
        <f>'kWh Summary All RSs'!F16</f>
        <v>8918635834</v>
      </c>
      <c r="E40" s="80" t="str">
        <f>'kWh Summary All RSs'!I16</f>
        <v xml:space="preserve">RATE7   </v>
      </c>
      <c r="F40" s="81">
        <f>'kWh Summary All RSs'!J16/8760000</f>
        <v>0</v>
      </c>
      <c r="G40" s="81">
        <f>'kWh Summary All RSs'!K16/8760000</f>
        <v>2.8173194383070657</v>
      </c>
      <c r="H40" s="81">
        <f>'kWh Summary All RSs'!L16/8760000</f>
        <v>1.6879726027397259</v>
      </c>
      <c r="I40" s="248">
        <f t="shared" si="7"/>
        <v>2.8173194383070657</v>
      </c>
      <c r="J40" s="288" t="str">
        <f>IF(MAX($F40:F40)&gt;$K$5,MAX($F40:F40),"")</f>
        <v/>
      </c>
      <c r="K40" s="237">
        <f>IF(MAX($F40:G40)&gt;$K$5,MAX($F40:G40),"")</f>
        <v>2.8173194383070657</v>
      </c>
      <c r="L40" s="256">
        <f>IF(MAX($F40:H40)&gt;$K$5,MAX($F40:H40),"")</f>
        <v>2.8173194383070657</v>
      </c>
      <c r="M40" s="255" t="str">
        <f>IF(MAX($F40:F40)&gt;$N$5,MAX($F40:F40),"")</f>
        <v/>
      </c>
      <c r="N40" s="237">
        <f>IF(MAX($F40:G40)&gt;$N$5,MAX($F40:G40),"")</f>
        <v>2.8173194383070657</v>
      </c>
      <c r="O40" s="256">
        <f>IF(MAX($F40:H40)&gt;$N$5,MAX($F40:H40),"")</f>
        <v>2.8173194383070657</v>
      </c>
      <c r="P40" s="255" t="str">
        <f>IF(MAX($F40:F40)&gt;$Q$5,MAX($F40:F40),"")</f>
        <v/>
      </c>
      <c r="Q40" s="237">
        <f>IF(MAX($F40:G40)&gt;$Q$5,MAX($F40:G40),"")</f>
        <v>2.8173194383070657</v>
      </c>
      <c r="R40" s="289">
        <f>IF(MAX($F40:H40)&gt;$Q$5,MAX($F40:H40),"")</f>
        <v>2.8173194383070657</v>
      </c>
      <c r="S40" s="288" t="str">
        <f t="shared" si="8"/>
        <v/>
      </c>
      <c r="T40" s="237">
        <f t="shared" si="9"/>
        <v>2.8173194383070657</v>
      </c>
      <c r="U40" s="256">
        <f t="shared" si="10"/>
        <v>1.6879726027397259</v>
      </c>
      <c r="V40" s="487" t="str">
        <f t="shared" si="11"/>
        <v/>
      </c>
      <c r="W40" s="237">
        <f t="shared" si="12"/>
        <v>2.8173194383070657</v>
      </c>
      <c r="X40" s="256">
        <f t="shared" si="13"/>
        <v>1.6879726027397259</v>
      </c>
      <c r="Y40" s="487" t="str">
        <f t="shared" si="14"/>
        <v/>
      </c>
      <c r="Z40" s="237">
        <f t="shared" si="15"/>
        <v>2.8173194383070657</v>
      </c>
      <c r="AA40" s="289">
        <f t="shared" si="16"/>
        <v>1.6879726027397259</v>
      </c>
      <c r="AC40" s="235"/>
      <c r="AE40" s="235"/>
      <c r="BI40" s="235"/>
    </row>
    <row r="41" spans="2:61" ht="15.75" thickBot="1" x14ac:dyDescent="0.3">
      <c r="B41" s="235"/>
      <c r="D41" s="84">
        <f>'kWh Summary All RSs'!F34</f>
        <v>2329696211</v>
      </c>
      <c r="E41" s="84" t="str">
        <f>'kWh Summary All RSs'!I34</f>
        <v xml:space="preserve">RATE7   </v>
      </c>
      <c r="F41" s="85">
        <f>'kWh Summary All RSs'!J34/8760000</f>
        <v>3.173316210045662</v>
      </c>
      <c r="G41" s="85">
        <f>'kWh Summary All RSs'!K34/8760000</f>
        <v>3.4839409338636034</v>
      </c>
      <c r="H41" s="85">
        <f>'kWh Summary All RSs'!L34/8760000</f>
        <v>3.0774060980998676</v>
      </c>
      <c r="I41" s="249">
        <f t="shared" si="7"/>
        <v>3.4839409338636034</v>
      </c>
      <c r="J41" s="291">
        <f>IF(MAX($F41:F41)&gt;$K$5,MAX($F41:F41),"")</f>
        <v>3.173316210045662</v>
      </c>
      <c r="K41" s="292">
        <f>IF(MAX($F41:G41)&gt;$K$5,MAX($F41:G41),"")</f>
        <v>3.4839409338636034</v>
      </c>
      <c r="L41" s="293">
        <f>IF(MAX($F41:H41)&gt;$K$5,MAX($F41:H41),"")</f>
        <v>3.4839409338636034</v>
      </c>
      <c r="M41" s="294">
        <f>IF(MAX($F41:F41)&gt;$N$5,MAX($F41:F41),"")</f>
        <v>3.173316210045662</v>
      </c>
      <c r="N41" s="292">
        <f>IF(MAX($F41:G41)&gt;$N$5,MAX($F41:G41),"")</f>
        <v>3.4839409338636034</v>
      </c>
      <c r="O41" s="293">
        <f>IF(MAX($F41:H41)&gt;$N$5,MAX($F41:H41),"")</f>
        <v>3.4839409338636034</v>
      </c>
      <c r="P41" s="294">
        <f>IF(MAX($F41:F41)&gt;$Q$5,MAX($F41:F41),"")</f>
        <v>3.173316210045662</v>
      </c>
      <c r="Q41" s="292">
        <f>IF(MAX($F41:G41)&gt;$Q$5,MAX($F41:G41),"")</f>
        <v>3.4839409338636034</v>
      </c>
      <c r="R41" s="295">
        <f>IF(MAX($F41:H41)&gt;$Q$5,MAX($F41:H41),"")</f>
        <v>3.4839409338636034</v>
      </c>
      <c r="S41" s="291">
        <f>IF(F41&gt;T$5,F41,"")</f>
        <v>3.173316210045662</v>
      </c>
      <c r="T41" s="292">
        <f>IF(G41&gt;T$5,G41,"")</f>
        <v>3.4839409338636034</v>
      </c>
      <c r="U41" s="293">
        <f>IF(H41&gt;T$5,H41,"")</f>
        <v>3.0774060980998676</v>
      </c>
      <c r="V41" s="488">
        <f>IF(F41&gt;W$5,F41,"")</f>
        <v>3.173316210045662</v>
      </c>
      <c r="W41" s="292">
        <f>IF(G41&gt;W$5,G41,"")</f>
        <v>3.4839409338636034</v>
      </c>
      <c r="X41" s="293">
        <f>IF(H41&gt;W$5,H41,"")</f>
        <v>3.0774060980998676</v>
      </c>
      <c r="Y41" s="488">
        <f>IF(F41&gt;Z$5,F41,"")</f>
        <v>3.173316210045662</v>
      </c>
      <c r="Z41" s="292">
        <f>IF(G41&gt;Z$5,G41,"")</f>
        <v>3.4839409338636034</v>
      </c>
      <c r="AA41" s="295">
        <f>IF(H41&gt;Z$5,H41,"")</f>
        <v>3.0774060980998676</v>
      </c>
      <c r="AC41" s="235"/>
      <c r="AE41" s="235"/>
      <c r="BI41" s="235"/>
    </row>
    <row r="42" spans="2:61" ht="16.5" thickTop="1" thickBot="1" x14ac:dyDescent="0.3">
      <c r="B42" s="235"/>
      <c r="D42" s="12"/>
      <c r="E42" s="12"/>
      <c r="F42" s="239"/>
      <c r="G42" s="239"/>
      <c r="H42" s="239"/>
      <c r="I42" s="240"/>
      <c r="J42" s="240"/>
      <c r="K42" s="240"/>
      <c r="L42" s="241"/>
      <c r="M42" s="240"/>
      <c r="N42" s="240"/>
      <c r="O42" s="241"/>
      <c r="P42" s="240"/>
      <c r="Q42" s="240"/>
      <c r="R42" s="241"/>
      <c r="S42" s="240"/>
      <c r="T42" s="240"/>
      <c r="U42" s="241"/>
      <c r="V42" s="240"/>
      <c r="W42" s="240"/>
      <c r="X42" s="241"/>
      <c r="Y42" s="240"/>
      <c r="Z42" s="240"/>
      <c r="AA42" s="241"/>
      <c r="AC42" s="235"/>
      <c r="AE42" s="235"/>
      <c r="BI42" s="235"/>
    </row>
    <row r="43" spans="2:61" ht="15.75" thickTop="1" x14ac:dyDescent="0.25">
      <c r="B43" s="235"/>
      <c r="F43" s="232" t="s">
        <v>47</v>
      </c>
      <c r="G43" s="233"/>
      <c r="H43" s="1"/>
      <c r="I43" s="246" t="s">
        <v>50</v>
      </c>
      <c r="J43" s="490" t="s">
        <v>52</v>
      </c>
      <c r="K43" s="491">
        <f>K5</f>
        <v>0.2</v>
      </c>
      <c r="L43" s="492" t="s">
        <v>53</v>
      </c>
      <c r="M43" s="493" t="s">
        <v>52</v>
      </c>
      <c r="N43" s="491">
        <f>N5</f>
        <v>1</v>
      </c>
      <c r="O43" s="492" t="s">
        <v>53</v>
      </c>
      <c r="P43" s="493" t="s">
        <v>52</v>
      </c>
      <c r="Q43" s="491">
        <f>Q5</f>
        <v>1.5</v>
      </c>
      <c r="R43" s="494" t="s">
        <v>53</v>
      </c>
      <c r="S43" s="490" t="s">
        <v>52</v>
      </c>
      <c r="T43" s="491">
        <f>T5</f>
        <v>0.5</v>
      </c>
      <c r="U43" s="492" t="s">
        <v>53</v>
      </c>
      <c r="V43" s="493" t="s">
        <v>52</v>
      </c>
      <c r="W43" s="491">
        <f>W5</f>
        <v>1</v>
      </c>
      <c r="X43" s="492" t="s">
        <v>53</v>
      </c>
      <c r="Y43" s="493" t="s">
        <v>52</v>
      </c>
      <c r="Z43" s="491">
        <f>Z5</f>
        <v>1.5</v>
      </c>
      <c r="AA43" s="494" t="s">
        <v>53</v>
      </c>
      <c r="AC43" s="235"/>
      <c r="AE43" s="235"/>
      <c r="BI43" s="235"/>
    </row>
    <row r="44" spans="2:61" x14ac:dyDescent="0.25">
      <c r="B44" s="235"/>
      <c r="F44" s="3">
        <f>F6</f>
        <v>2017</v>
      </c>
      <c r="G44" s="3">
        <f t="shared" ref="G44:H44" si="18">G6</f>
        <v>2018</v>
      </c>
      <c r="H44" s="3">
        <f t="shared" si="18"/>
        <v>2019</v>
      </c>
      <c r="I44" s="230" t="s">
        <v>29</v>
      </c>
      <c r="J44" s="495">
        <f>F44</f>
        <v>2017</v>
      </c>
      <c r="K44" s="242">
        <f>G44</f>
        <v>2018</v>
      </c>
      <c r="L44" s="261">
        <f>H44</f>
        <v>2019</v>
      </c>
      <c r="M44" s="260">
        <f>J44</f>
        <v>2017</v>
      </c>
      <c r="N44" s="242">
        <f t="shared" ref="N44" si="19">K44</f>
        <v>2018</v>
      </c>
      <c r="O44" s="261">
        <f t="shared" ref="O44" si="20">L44</f>
        <v>2019</v>
      </c>
      <c r="P44" s="260">
        <f t="shared" ref="P44" si="21">M44</f>
        <v>2017</v>
      </c>
      <c r="Q44" s="242">
        <f t="shared" ref="Q44" si="22">N44</f>
        <v>2018</v>
      </c>
      <c r="R44" s="496">
        <f t="shared" ref="R44" si="23">O44</f>
        <v>2019</v>
      </c>
      <c r="S44" s="495">
        <f>O44</f>
        <v>2019</v>
      </c>
      <c r="T44" s="242">
        <f>P44</f>
        <v>2017</v>
      </c>
      <c r="U44" s="261">
        <f>Q44</f>
        <v>2018</v>
      </c>
      <c r="V44" s="260">
        <f>S44</f>
        <v>2019</v>
      </c>
      <c r="W44" s="242">
        <f t="shared" ref="W44" si="24">T44</f>
        <v>2017</v>
      </c>
      <c r="X44" s="261">
        <f t="shared" ref="X44" si="25">U44</f>
        <v>2018</v>
      </c>
      <c r="Y44" s="260">
        <f t="shared" ref="Y44" si="26">V44</f>
        <v>2019</v>
      </c>
      <c r="Z44" s="242">
        <f t="shared" ref="Z44" si="27">W44</f>
        <v>2017</v>
      </c>
      <c r="AA44" s="496">
        <f t="shared" ref="AA44" si="28">X44</f>
        <v>2018</v>
      </c>
      <c r="AC44" s="235"/>
      <c r="AE44" s="235"/>
      <c r="BI44" s="235"/>
    </row>
    <row r="45" spans="2:61" x14ac:dyDescent="0.25">
      <c r="B45" s="235"/>
      <c r="E45" s="231" t="s">
        <v>45</v>
      </c>
      <c r="F45" s="245">
        <f t="shared" ref="F45:AA45" si="29">COUNTIF(F8:F41,"&gt;0")</f>
        <v>27</v>
      </c>
      <c r="G45" s="245">
        <f t="shared" si="29"/>
        <v>33</v>
      </c>
      <c r="H45" s="245">
        <f t="shared" si="29"/>
        <v>34</v>
      </c>
      <c r="I45" s="489">
        <f t="shared" si="29"/>
        <v>34</v>
      </c>
      <c r="J45" s="497">
        <f t="shared" si="29"/>
        <v>11</v>
      </c>
      <c r="K45" s="245">
        <f t="shared" si="29"/>
        <v>20</v>
      </c>
      <c r="L45" s="263">
        <f t="shared" si="29"/>
        <v>23</v>
      </c>
      <c r="M45" s="262">
        <f t="shared" si="29"/>
        <v>3</v>
      </c>
      <c r="N45" s="245">
        <f t="shared" si="29"/>
        <v>7</v>
      </c>
      <c r="O45" s="263">
        <f t="shared" si="29"/>
        <v>9</v>
      </c>
      <c r="P45" s="262">
        <f t="shared" si="29"/>
        <v>3</v>
      </c>
      <c r="Q45" s="245">
        <f t="shared" si="29"/>
        <v>6</v>
      </c>
      <c r="R45" s="498">
        <f t="shared" si="29"/>
        <v>8</v>
      </c>
      <c r="S45" s="497">
        <f t="shared" si="29"/>
        <v>5</v>
      </c>
      <c r="T45" s="245">
        <f t="shared" si="29"/>
        <v>14</v>
      </c>
      <c r="U45" s="263">
        <f t="shared" si="29"/>
        <v>16</v>
      </c>
      <c r="V45" s="262">
        <f t="shared" si="29"/>
        <v>3</v>
      </c>
      <c r="W45" s="245">
        <f t="shared" si="29"/>
        <v>7</v>
      </c>
      <c r="X45" s="263">
        <f t="shared" si="29"/>
        <v>8</v>
      </c>
      <c r="Y45" s="262">
        <f t="shared" si="29"/>
        <v>3</v>
      </c>
      <c r="Z45" s="245">
        <f t="shared" si="29"/>
        <v>5</v>
      </c>
      <c r="AA45" s="498">
        <f t="shared" si="29"/>
        <v>6</v>
      </c>
      <c r="AC45" s="235"/>
      <c r="AE45" s="235"/>
      <c r="BI45" s="235"/>
    </row>
    <row r="46" spans="2:61" x14ac:dyDescent="0.25">
      <c r="B46" s="235"/>
      <c r="E46" s="231" t="s">
        <v>47</v>
      </c>
      <c r="F46" s="237">
        <f t="shared" ref="F46:AA46" si="30">SUM(F8:F41)</f>
        <v>10.329337018797773</v>
      </c>
      <c r="G46" s="237">
        <f t="shared" si="30"/>
        <v>23.185571515474148</v>
      </c>
      <c r="H46" s="237">
        <f t="shared" si="30"/>
        <v>22.532761965809474</v>
      </c>
      <c r="I46" s="248">
        <f t="shared" si="30"/>
        <v>27.834212836020985</v>
      </c>
      <c r="J46" s="288">
        <f t="shared" si="30"/>
        <v>9.7204231783145598</v>
      </c>
      <c r="K46" s="237">
        <f t="shared" si="30"/>
        <v>22.352151876680509</v>
      </c>
      <c r="L46" s="257">
        <f t="shared" si="30"/>
        <v>26.955888366095024</v>
      </c>
      <c r="M46" s="255">
        <f t="shared" si="30"/>
        <v>6.3092470085812291</v>
      </c>
      <c r="N46" s="237">
        <f t="shared" si="30"/>
        <v>15.341170420098628</v>
      </c>
      <c r="O46" s="257">
        <f t="shared" si="30"/>
        <v>19.117952072236445</v>
      </c>
      <c r="P46" s="255">
        <f t="shared" si="30"/>
        <v>6.3092470085812291</v>
      </c>
      <c r="Q46" s="237">
        <f t="shared" si="30"/>
        <v>14.178265687844579</v>
      </c>
      <c r="R46" s="290">
        <f t="shared" si="30"/>
        <v>17.938518904947113</v>
      </c>
      <c r="S46" s="288">
        <f t="shared" si="30"/>
        <v>7.5144078667601182</v>
      </c>
      <c r="T46" s="237">
        <f t="shared" si="30"/>
        <v>19.921705370095122</v>
      </c>
      <c r="U46" s="257">
        <f t="shared" si="30"/>
        <v>19.832031193677775</v>
      </c>
      <c r="V46" s="255">
        <f t="shared" si="30"/>
        <v>6.3092470085812291</v>
      </c>
      <c r="W46" s="237">
        <f t="shared" si="30"/>
        <v>15.193202907791754</v>
      </c>
      <c r="X46" s="257">
        <f t="shared" si="30"/>
        <v>14.503062241348129</v>
      </c>
      <c r="Y46" s="255">
        <f t="shared" si="30"/>
        <v>6.3092470085812291</v>
      </c>
      <c r="Z46" s="237">
        <f t="shared" si="30"/>
        <v>12.573326820491051</v>
      </c>
      <c r="AA46" s="290">
        <f t="shared" si="30"/>
        <v>12.279549491540859</v>
      </c>
      <c r="AC46" s="235"/>
      <c r="AE46" s="235"/>
      <c r="BI46" s="235"/>
    </row>
    <row r="47" spans="2:61" x14ac:dyDescent="0.25">
      <c r="B47" s="235"/>
      <c r="E47" s="231" t="s">
        <v>54</v>
      </c>
      <c r="F47" s="238">
        <f t="shared" ref="F47:AA47" si="31">F46/F45</f>
        <v>0.38256803773325082</v>
      </c>
      <c r="G47" s="238">
        <f t="shared" si="31"/>
        <v>0.70259307622648937</v>
      </c>
      <c r="H47" s="238">
        <f t="shared" si="31"/>
        <v>0.6627282931120434</v>
      </c>
      <c r="I47" s="249">
        <f t="shared" si="31"/>
        <v>0.8186533187064996</v>
      </c>
      <c r="J47" s="288">
        <f t="shared" si="31"/>
        <v>0.88367483439223271</v>
      </c>
      <c r="K47" s="237">
        <f t="shared" si="31"/>
        <v>1.1176075938340255</v>
      </c>
      <c r="L47" s="257">
        <f t="shared" si="31"/>
        <v>1.1719951463519576</v>
      </c>
      <c r="M47" s="255">
        <f t="shared" si="31"/>
        <v>2.1030823361937432</v>
      </c>
      <c r="N47" s="237">
        <f t="shared" si="31"/>
        <v>2.1915957742998038</v>
      </c>
      <c r="O47" s="257">
        <f t="shared" si="31"/>
        <v>2.1242168969151605</v>
      </c>
      <c r="P47" s="255">
        <f t="shared" si="31"/>
        <v>2.1030823361937432</v>
      </c>
      <c r="Q47" s="237">
        <f t="shared" si="31"/>
        <v>2.3630442813074297</v>
      </c>
      <c r="R47" s="290">
        <f t="shared" si="31"/>
        <v>2.2423148631183891</v>
      </c>
      <c r="S47" s="288">
        <f t="shared" si="31"/>
        <v>1.5028815733520235</v>
      </c>
      <c r="T47" s="237">
        <f t="shared" si="31"/>
        <v>1.4229789550067944</v>
      </c>
      <c r="U47" s="257">
        <f t="shared" si="31"/>
        <v>1.2395019496048609</v>
      </c>
      <c r="V47" s="255">
        <f t="shared" si="31"/>
        <v>2.1030823361937432</v>
      </c>
      <c r="W47" s="237">
        <f t="shared" si="31"/>
        <v>2.1704575582559649</v>
      </c>
      <c r="X47" s="257">
        <f t="shared" si="31"/>
        <v>1.8128827801685161</v>
      </c>
      <c r="Y47" s="255">
        <f t="shared" si="31"/>
        <v>2.1030823361937432</v>
      </c>
      <c r="Z47" s="237">
        <f t="shared" si="31"/>
        <v>2.5146653640982102</v>
      </c>
      <c r="AA47" s="290">
        <f t="shared" si="31"/>
        <v>2.0465915819234763</v>
      </c>
      <c r="AC47" s="235"/>
      <c r="AE47" s="235"/>
      <c r="BI47" s="235"/>
    </row>
    <row r="48" spans="2:61" ht="15.75" thickBot="1" x14ac:dyDescent="0.3">
      <c r="B48" s="235"/>
      <c r="I48" s="231" t="s">
        <v>56</v>
      </c>
      <c r="J48" s="499">
        <f>J46/F$46</f>
        <v>0.9410500558385223</v>
      </c>
      <c r="K48" s="500">
        <f>K46/G$46</f>
        <v>0.96405438450212833</v>
      </c>
      <c r="L48" s="501">
        <f>L46/H$46</f>
        <v>1.1962975691571707</v>
      </c>
      <c r="M48" s="502">
        <f>M46/F$46</f>
        <v>0.61080851530929714</v>
      </c>
      <c r="N48" s="500">
        <f>N46/G$46</f>
        <v>0.66166884908831625</v>
      </c>
      <c r="O48" s="501">
        <f>O46/H$46</f>
        <v>0.84845133948716289</v>
      </c>
      <c r="P48" s="502">
        <f>P46/F$46</f>
        <v>0.61080851530929714</v>
      </c>
      <c r="Q48" s="500">
        <f>Q46/G$46</f>
        <v>0.61151245197393322</v>
      </c>
      <c r="R48" s="503">
        <f>R46/H$46</f>
        <v>0.79610830364100393</v>
      </c>
      <c r="S48" s="499">
        <f>S46/O$46</f>
        <v>0.39305506355320996</v>
      </c>
      <c r="T48" s="500">
        <f>T46/P$46</f>
        <v>3.1575408829293798</v>
      </c>
      <c r="U48" s="501">
        <f>U46/Q$46</f>
        <v>1.3987628409785215</v>
      </c>
      <c r="V48" s="502">
        <f>V46/O$46</f>
        <v>0.33001688594792905</v>
      </c>
      <c r="W48" s="500">
        <f>W46/P$46</f>
        <v>2.4080849722839233</v>
      </c>
      <c r="X48" s="501">
        <f>X46/Q$46</f>
        <v>1.0229080594661171</v>
      </c>
      <c r="Y48" s="502">
        <f>Y46/O$46</f>
        <v>0.33001688594792905</v>
      </c>
      <c r="Z48" s="500">
        <f>Z46/P$46</f>
        <v>1.9928411113703466</v>
      </c>
      <c r="AA48" s="503">
        <f>AA46/Q$46</f>
        <v>0.86608261982764634</v>
      </c>
      <c r="AC48" s="235"/>
      <c r="AE48" s="235"/>
      <c r="BI48" s="235"/>
    </row>
    <row r="49" spans="2:61" ht="15.75" thickTop="1" x14ac:dyDescent="0.25">
      <c r="B49" s="235"/>
      <c r="AC49" s="235"/>
      <c r="AE49" s="235"/>
      <c r="BI49" s="235"/>
    </row>
    <row r="50" spans="2:61" x14ac:dyDescent="0.25">
      <c r="B50" s="235"/>
      <c r="C50" s="235"/>
      <c r="D50" s="235"/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5"/>
      <c r="Q50" s="235"/>
      <c r="R50" s="235"/>
      <c r="S50" s="235"/>
      <c r="T50" s="235"/>
      <c r="U50" s="235"/>
      <c r="V50" s="235"/>
      <c r="W50" s="235"/>
      <c r="X50" s="235"/>
      <c r="Y50" s="235"/>
      <c r="Z50" s="235"/>
      <c r="AA50" s="235"/>
      <c r="AB50" s="235"/>
      <c r="AC50" s="235"/>
      <c r="AE50" s="235"/>
      <c r="BI50" s="235"/>
    </row>
    <row r="51" spans="2:61" x14ac:dyDescent="0.25">
      <c r="AE51" s="235"/>
      <c r="BI51" s="235"/>
    </row>
    <row r="52" spans="2:61" x14ac:dyDescent="0.25">
      <c r="AE52" s="235"/>
      <c r="BI52" s="235"/>
    </row>
    <row r="53" spans="2:61" x14ac:dyDescent="0.25"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</row>
  </sheetData>
  <conditionalFormatting sqref="M9:R42 D8:L42">
    <cfRule type="expression" dxfId="50" priority="26" stopIfTrue="1">
      <formula>$E8="RATE1   "</formula>
    </cfRule>
    <cfRule type="expression" dxfId="49" priority="27">
      <formula>$E8="RATE2   "</formula>
    </cfRule>
  </conditionalFormatting>
  <conditionalFormatting sqref="M8:R8 S8:U42">
    <cfRule type="expression" dxfId="48" priority="16">
      <formula>$E8="RATE7   "</formula>
    </cfRule>
    <cfRule type="expression" dxfId="47" priority="17" stopIfTrue="1">
      <formula>$E8="RATE1   "</formula>
    </cfRule>
    <cfRule type="expression" dxfId="46" priority="18">
      <formula>$E8="RATE2   "</formula>
    </cfRule>
  </conditionalFormatting>
  <conditionalFormatting sqref="V9:AA42">
    <cfRule type="expression" dxfId="45" priority="13">
      <formula>$E9="RATE7   "</formula>
    </cfRule>
    <cfRule type="expression" dxfId="44" priority="14" stopIfTrue="1">
      <formula>$E9="RATE1   "</formula>
    </cfRule>
    <cfRule type="expression" dxfId="43" priority="15">
      <formula>$E9="RATE2   "</formula>
    </cfRule>
  </conditionalFormatting>
  <conditionalFormatting sqref="V8:AA8">
    <cfRule type="expression" dxfId="42" priority="10">
      <formula>$E8="RATE7   "</formula>
    </cfRule>
    <cfRule type="expression" dxfId="41" priority="11" stopIfTrue="1">
      <formula>$E8="RATE1   "</formula>
    </cfRule>
    <cfRule type="expression" dxfId="40" priority="12">
      <formula>$E8="RATE2   "</formula>
    </cfRule>
  </conditionalFormatting>
  <conditionalFormatting sqref="M9:R42 D8:L42">
    <cfRule type="expression" dxfId="39" priority="25">
      <formula>$E8="RATE7   "</formula>
    </cfRule>
  </conditionalFormatting>
  <conditionalFormatting sqref="AG8:AH33">
    <cfRule type="expression" dxfId="38" priority="370" stopIfTrue="1">
      <formula>$AH8="RATE1   "</formula>
    </cfRule>
    <cfRule type="expression" dxfId="37" priority="371">
      <formula>$AH8="RATE2   "</formula>
    </cfRule>
  </conditionalFormatting>
  <conditionalFormatting sqref="AG8:AT33 AV8:BG32">
    <cfRule type="expression" dxfId="36" priority="372">
      <formula>$AH8="RATE7   "</formula>
    </cfRule>
  </conditionalFormatting>
  <conditionalFormatting sqref="AK4">
    <cfRule type="expression" dxfId="35" priority="379">
      <formula>$AK4="RATE7   "</formula>
    </cfRule>
    <cfRule type="expression" dxfId="34" priority="380" stopIfTrue="1">
      <formula>$AK4="RATE1   "</formula>
    </cfRule>
    <cfRule type="expression" dxfId="33" priority="381">
      <formula>$AK4="RATE2   "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67199-7C04-4B6A-8B44-9E8ECA577B72}">
  <sheetPr>
    <tabColor rgb="FF002D72"/>
  </sheetPr>
  <dimension ref="B1:AY120"/>
  <sheetViews>
    <sheetView zoomScale="70" zoomScaleNormal="70" workbookViewId="0">
      <pane xSplit="14" ySplit="7" topLeftCell="O63" activePane="bottomRight" state="frozen"/>
      <selection pane="topRight" activeCell="O1" sqref="O1"/>
      <selection pane="bottomLeft" activeCell="A8" sqref="A8"/>
      <selection pane="bottomRight" activeCell="N50" sqref="N50"/>
    </sheetView>
  </sheetViews>
  <sheetFormatPr defaultRowHeight="15" x14ac:dyDescent="0.25"/>
  <cols>
    <col min="1" max="3" width="3.7109375" style="2" customWidth="1"/>
    <col min="4" max="5" width="8.28515625" style="2" bestFit="1" customWidth="1"/>
    <col min="6" max="6" width="13.5703125" style="2" bestFit="1" customWidth="1"/>
    <col min="7" max="8" width="14.28515625" style="2" customWidth="1"/>
    <col min="9" max="9" width="17.42578125" style="2" bestFit="1" customWidth="1"/>
    <col min="10" max="10" width="13.42578125" style="2" bestFit="1" customWidth="1"/>
    <col min="11" max="11" width="14.7109375" style="2" bestFit="1" customWidth="1"/>
    <col min="12" max="12" width="14.140625" style="2" bestFit="1" customWidth="1"/>
    <col min="13" max="13" width="14.7109375" style="11" bestFit="1" customWidth="1"/>
    <col min="14" max="15" width="12.42578125" style="2" bestFit="1" customWidth="1"/>
    <col min="16" max="17" width="12" style="2" bestFit="1" customWidth="1"/>
    <col min="18" max="24" width="12.42578125" style="2" bestFit="1" customWidth="1"/>
    <col min="25" max="26" width="12.85546875" style="2" bestFit="1" customWidth="1"/>
    <col min="27" max="27" width="13.140625" style="2" bestFit="1" customWidth="1"/>
    <col min="28" max="28" width="12.85546875" style="2" bestFit="1" customWidth="1"/>
    <col min="29" max="30" width="13.140625" style="2" bestFit="1" customWidth="1"/>
    <col min="31" max="31" width="12.42578125" style="2" bestFit="1" customWidth="1"/>
    <col min="32" max="33" width="12.85546875" style="2" bestFit="1" customWidth="1"/>
    <col min="34" max="38" width="13.140625" style="2" bestFit="1" customWidth="1"/>
    <col min="39" max="39" width="12.85546875" style="2" bestFit="1" customWidth="1"/>
    <col min="40" max="41" width="13.140625" style="2" bestFit="1" customWidth="1"/>
    <col min="42" max="42" width="12.42578125" style="2" bestFit="1" customWidth="1"/>
    <col min="43" max="43" width="12.85546875" style="2" bestFit="1" customWidth="1"/>
    <col min="44" max="44" width="13.5703125" style="2" bestFit="1" customWidth="1"/>
    <col min="45" max="48" width="13.140625" style="2" bestFit="1" customWidth="1"/>
    <col min="49" max="49" width="12.42578125" style="2" bestFit="1" customWidth="1"/>
    <col min="50" max="51" width="3.7109375" style="2" customWidth="1"/>
    <col min="52" max="16384" width="9.140625" style="2"/>
  </cols>
  <sheetData>
    <row r="1" spans="2:51" ht="15.75" thickBot="1" x14ac:dyDescent="0.3"/>
    <row r="2" spans="2:51" x14ac:dyDescent="0.25">
      <c r="B2" s="321" t="s">
        <v>72</v>
      </c>
      <c r="C2" s="224"/>
      <c r="D2" s="224"/>
      <c r="E2" s="224"/>
      <c r="F2" s="224"/>
      <c r="G2" s="122"/>
      <c r="H2" s="122"/>
      <c r="I2" s="224"/>
      <c r="J2" s="224"/>
      <c r="K2" s="224"/>
      <c r="L2" s="224"/>
      <c r="M2" s="224"/>
      <c r="N2" s="225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5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4"/>
      <c r="AY2" s="224"/>
    </row>
    <row r="3" spans="2:51" x14ac:dyDescent="0.25">
      <c r="B3" s="223"/>
      <c r="G3"/>
      <c r="H3"/>
      <c r="J3" s="53"/>
      <c r="K3" s="53"/>
      <c r="L3" s="53"/>
      <c r="M3" s="2"/>
      <c r="AY3" s="223"/>
    </row>
    <row r="4" spans="2:51" ht="15.75" thickBot="1" x14ac:dyDescent="0.3">
      <c r="B4" s="223"/>
      <c r="E4" s="11"/>
      <c r="G4"/>
      <c r="H4" s="322" t="s">
        <v>99</v>
      </c>
      <c r="I4" s="323">
        <f>SUM(N7:AW40)</f>
        <v>490977593.58071274</v>
      </c>
      <c r="J4" s="53"/>
      <c r="K4" s="53"/>
      <c r="L4" s="53"/>
      <c r="M4" s="2"/>
      <c r="AY4" s="223"/>
    </row>
    <row r="5" spans="2:51" x14ac:dyDescent="0.25">
      <c r="B5" s="223"/>
      <c r="D5" s="472" t="s">
        <v>96</v>
      </c>
      <c r="E5" s="473"/>
      <c r="F5" s="54" t="s">
        <v>94</v>
      </c>
      <c r="G5" s="232" t="s">
        <v>93</v>
      </c>
      <c r="H5" s="401"/>
      <c r="I5" s="54" t="s">
        <v>43</v>
      </c>
      <c r="J5" s="15" t="s">
        <v>8</v>
      </c>
      <c r="K5" s="16"/>
      <c r="L5" s="16"/>
      <c r="M5" s="16"/>
      <c r="N5" s="55">
        <v>2017</v>
      </c>
      <c r="O5" s="56"/>
      <c r="P5" s="56"/>
      <c r="Q5" s="56"/>
      <c r="R5" s="56"/>
      <c r="S5" s="56"/>
      <c r="T5" s="56"/>
      <c r="U5" s="56"/>
      <c r="V5" s="56"/>
      <c r="W5" s="56"/>
      <c r="X5" s="57"/>
      <c r="Y5" s="58"/>
      <c r="Z5" s="55">
        <v>2018</v>
      </c>
      <c r="AA5" s="56"/>
      <c r="AB5" s="56"/>
      <c r="AC5" s="56"/>
      <c r="AD5" s="56"/>
      <c r="AE5" s="56"/>
      <c r="AF5" s="56"/>
      <c r="AG5" s="56"/>
      <c r="AH5" s="56"/>
      <c r="AI5" s="56"/>
      <c r="AJ5" s="57"/>
      <c r="AK5" s="59"/>
      <c r="AL5" s="56">
        <v>2019</v>
      </c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7"/>
      <c r="AY5" s="223"/>
    </row>
    <row r="6" spans="2:51" x14ac:dyDescent="0.25">
      <c r="B6" s="223"/>
      <c r="D6" s="3" t="s">
        <v>97</v>
      </c>
      <c r="E6" s="3" t="s">
        <v>98</v>
      </c>
      <c r="F6" s="26"/>
      <c r="G6" s="76" t="s">
        <v>50</v>
      </c>
      <c r="H6" s="471" t="s">
        <v>37</v>
      </c>
      <c r="I6" s="26" t="s">
        <v>95</v>
      </c>
      <c r="J6" s="3">
        <v>2017</v>
      </c>
      <c r="K6" s="3">
        <v>2018</v>
      </c>
      <c r="L6" s="3">
        <v>2019</v>
      </c>
      <c r="M6" s="402" t="s">
        <v>46</v>
      </c>
      <c r="N6" s="62">
        <v>42736</v>
      </c>
      <c r="O6" s="61">
        <v>42767</v>
      </c>
      <c r="P6" s="61">
        <v>42795</v>
      </c>
      <c r="Q6" s="61">
        <v>42826</v>
      </c>
      <c r="R6" s="61">
        <v>42856</v>
      </c>
      <c r="S6" s="61">
        <v>42887</v>
      </c>
      <c r="T6" s="61">
        <v>42917</v>
      </c>
      <c r="U6" s="61">
        <v>42948</v>
      </c>
      <c r="V6" s="61">
        <v>42979</v>
      </c>
      <c r="W6" s="61">
        <v>43009</v>
      </c>
      <c r="X6" s="61">
        <v>43040</v>
      </c>
      <c r="Y6" s="65">
        <v>43070</v>
      </c>
      <c r="Z6" s="60">
        <v>43101</v>
      </c>
      <c r="AA6" s="61">
        <v>43132</v>
      </c>
      <c r="AB6" s="61">
        <v>43160</v>
      </c>
      <c r="AC6" s="61">
        <v>43191</v>
      </c>
      <c r="AD6" s="61">
        <v>43221</v>
      </c>
      <c r="AE6" s="61">
        <v>43252</v>
      </c>
      <c r="AF6" s="61">
        <v>43282</v>
      </c>
      <c r="AG6" s="61">
        <v>43313</v>
      </c>
      <c r="AH6" s="61">
        <v>43344</v>
      </c>
      <c r="AI6" s="61">
        <v>43374</v>
      </c>
      <c r="AJ6" s="63">
        <v>43405</v>
      </c>
      <c r="AK6" s="64">
        <v>43435</v>
      </c>
      <c r="AL6" s="60">
        <v>43466</v>
      </c>
      <c r="AM6" s="61">
        <v>43497</v>
      </c>
      <c r="AN6" s="61">
        <v>43525</v>
      </c>
      <c r="AO6" s="61">
        <v>43556</v>
      </c>
      <c r="AP6" s="61">
        <v>43586</v>
      </c>
      <c r="AQ6" s="61">
        <v>43617</v>
      </c>
      <c r="AR6" s="61">
        <v>43647</v>
      </c>
      <c r="AS6" s="61">
        <v>43678</v>
      </c>
      <c r="AT6" s="61">
        <v>43709</v>
      </c>
      <c r="AU6" s="61">
        <v>43739</v>
      </c>
      <c r="AV6" s="61">
        <v>43770</v>
      </c>
      <c r="AW6" s="65">
        <v>43800</v>
      </c>
      <c r="AX6" s="17"/>
      <c r="AY6" s="223"/>
    </row>
    <row r="7" spans="2:51" x14ac:dyDescent="0.25">
      <c r="B7" s="223"/>
      <c r="D7" s="227">
        <v>42706</v>
      </c>
      <c r="E7" s="227">
        <v>43800</v>
      </c>
      <c r="F7" s="468">
        <v>1409791486</v>
      </c>
      <c r="G7" s="18">
        <v>0</v>
      </c>
      <c r="H7" s="20">
        <v>0</v>
      </c>
      <c r="I7" s="67" t="s">
        <v>15</v>
      </c>
      <c r="J7" s="18">
        <v>214424.71408234883</v>
      </c>
      <c r="K7" s="18">
        <v>230756.88770053477</v>
      </c>
      <c r="L7" s="18">
        <v>233170.81818181818</v>
      </c>
      <c r="M7" s="403">
        <v>678352.41996470187</v>
      </c>
      <c r="N7" s="228">
        <v>8418.8846153846152</v>
      </c>
      <c r="O7" s="14">
        <v>13153.599999999999</v>
      </c>
      <c r="P7" s="14">
        <v>19210.696774193548</v>
      </c>
      <c r="Q7" s="14">
        <v>18187.385984427139</v>
      </c>
      <c r="R7" s="14">
        <v>18910.517241379312</v>
      </c>
      <c r="S7" s="14">
        <v>18231.428571428569</v>
      </c>
      <c r="T7" s="14">
        <v>18839.142857142855</v>
      </c>
      <c r="U7" s="14">
        <v>19529.060606060608</v>
      </c>
      <c r="V7" s="14">
        <v>19047.931034482757</v>
      </c>
      <c r="W7" s="14">
        <v>19682.933333333331</v>
      </c>
      <c r="X7" s="14">
        <v>19912.258064516129</v>
      </c>
      <c r="Y7" s="20">
        <v>21300.875</v>
      </c>
      <c r="Z7" s="14">
        <v>20098.430020283973</v>
      </c>
      <c r="AA7" s="14">
        <v>18349.150862068964</v>
      </c>
      <c r="AB7" s="14">
        <v>20362.814655172413</v>
      </c>
      <c r="AC7" s="14">
        <v>18798.827586206899</v>
      </c>
      <c r="AD7" s="14">
        <v>19594.694879832812</v>
      </c>
      <c r="AE7" s="14">
        <v>18290.254545454547</v>
      </c>
      <c r="AF7" s="14">
        <v>19661.705747126434</v>
      </c>
      <c r="AG7" s="14">
        <v>18964.191222570531</v>
      </c>
      <c r="AH7" s="14">
        <v>18036.05015673981</v>
      </c>
      <c r="AI7" s="14">
        <v>19470.482758620688</v>
      </c>
      <c r="AJ7" s="14">
        <v>19508.345872518286</v>
      </c>
      <c r="AK7" s="20">
        <v>19621.939393939392</v>
      </c>
      <c r="AL7" s="228">
        <v>19732.680250783698</v>
      </c>
      <c r="AM7" s="14">
        <v>19131.172413793101</v>
      </c>
      <c r="AN7" s="14">
        <v>16963.96551724138</v>
      </c>
      <c r="AO7" s="14">
        <v>20417</v>
      </c>
      <c r="AP7" s="14">
        <v>17226</v>
      </c>
      <c r="AQ7" s="14">
        <v>14478</v>
      </c>
      <c r="AR7" s="14">
        <v>18272</v>
      </c>
      <c r="AS7" s="14">
        <v>20756</v>
      </c>
      <c r="AT7" s="14">
        <v>19712</v>
      </c>
      <c r="AU7" s="14">
        <v>21290</v>
      </c>
      <c r="AV7" s="14">
        <v>22007</v>
      </c>
      <c r="AW7" s="20">
        <v>23185</v>
      </c>
      <c r="AX7" s="53"/>
      <c r="AY7" s="223"/>
    </row>
    <row r="8" spans="2:51" x14ac:dyDescent="0.25">
      <c r="B8" s="223"/>
      <c r="D8" s="66">
        <v>42711</v>
      </c>
      <c r="E8" s="66">
        <v>43800</v>
      </c>
      <c r="F8" s="469">
        <v>4788200000</v>
      </c>
      <c r="G8" s="19">
        <v>0</v>
      </c>
      <c r="H8" s="6">
        <v>0</v>
      </c>
      <c r="I8" s="67" t="s">
        <v>15</v>
      </c>
      <c r="J8" s="19">
        <v>25020.754901960783</v>
      </c>
      <c r="K8" s="19">
        <v>94842.766603415555</v>
      </c>
      <c r="L8" s="19">
        <v>137329.6451612903</v>
      </c>
      <c r="M8" s="404">
        <v>257193.16666666663</v>
      </c>
      <c r="N8" s="4">
        <v>3699.9408602150534</v>
      </c>
      <c r="O8" s="5">
        <v>2745.2591397849465</v>
      </c>
      <c r="P8" s="5">
        <v>2100.7597701149425</v>
      </c>
      <c r="Q8" s="5">
        <v>1345.1724137931035</v>
      </c>
      <c r="R8" s="5">
        <v>1141.5657327586207</v>
      </c>
      <c r="S8" s="5">
        <v>1354.6354166666667</v>
      </c>
      <c r="T8" s="5">
        <v>1607.4540229885058</v>
      </c>
      <c r="U8" s="5">
        <v>2024.7543103448277</v>
      </c>
      <c r="V8" s="5">
        <v>1292.2801724137933</v>
      </c>
      <c r="W8" s="5">
        <v>1644.8275862068965</v>
      </c>
      <c r="X8" s="5">
        <v>2626.1348884381337</v>
      </c>
      <c r="Y8" s="6">
        <v>3437.9705882352941</v>
      </c>
      <c r="Z8" s="5">
        <v>2944.6186612576066</v>
      </c>
      <c r="AA8" s="5">
        <v>2575.9931034482756</v>
      </c>
      <c r="AB8" s="5">
        <v>2969.1225806451612</v>
      </c>
      <c r="AC8" s="5">
        <v>4232.9877641824251</v>
      </c>
      <c r="AD8" s="5">
        <v>6866.1090100111232</v>
      </c>
      <c r="AE8" s="5">
        <v>8090.6743951612898</v>
      </c>
      <c r="AF8" s="5">
        <v>9675.3545258620688</v>
      </c>
      <c r="AG8" s="5">
        <v>9844.9153605015672</v>
      </c>
      <c r="AH8" s="5">
        <v>8798.4639498432589</v>
      </c>
      <c r="AI8" s="5">
        <v>9358.3448275862065</v>
      </c>
      <c r="AJ8" s="5">
        <v>13828.463949843261</v>
      </c>
      <c r="AK8" s="6">
        <v>15657.718475073314</v>
      </c>
      <c r="AL8" s="4">
        <v>14570.817575083425</v>
      </c>
      <c r="AM8" s="5">
        <v>12726.988876529478</v>
      </c>
      <c r="AN8" s="5">
        <v>11764.83870967742</v>
      </c>
      <c r="AO8" s="5">
        <v>10127</v>
      </c>
      <c r="AP8" s="5">
        <v>10936</v>
      </c>
      <c r="AQ8" s="5">
        <v>11057</v>
      </c>
      <c r="AR8" s="5">
        <v>10929</v>
      </c>
      <c r="AS8" s="5">
        <v>11869</v>
      </c>
      <c r="AT8" s="5">
        <v>10018</v>
      </c>
      <c r="AU8" s="5">
        <v>10739</v>
      </c>
      <c r="AV8" s="5">
        <v>11094</v>
      </c>
      <c r="AW8" s="6">
        <v>11498</v>
      </c>
      <c r="AX8" s="53"/>
      <c r="AY8" s="223"/>
    </row>
    <row r="9" spans="2:51" x14ac:dyDescent="0.25">
      <c r="B9" s="223"/>
      <c r="D9" s="66">
        <v>42713</v>
      </c>
      <c r="E9" s="66">
        <v>43800</v>
      </c>
      <c r="F9" s="469">
        <v>7306100000</v>
      </c>
      <c r="G9" s="19">
        <v>0</v>
      </c>
      <c r="H9" s="6">
        <v>0</v>
      </c>
      <c r="I9" s="67" t="s">
        <v>15</v>
      </c>
      <c r="J9" s="19">
        <v>41530.347426470587</v>
      </c>
      <c r="K9" s="19">
        <v>155286.60427807487</v>
      </c>
      <c r="L9" s="19">
        <v>203229.45454545453</v>
      </c>
      <c r="M9" s="404">
        <v>400046.40625</v>
      </c>
      <c r="N9" s="4">
        <v>6399.0959051724139</v>
      </c>
      <c r="O9" s="5">
        <v>4802.4103448275864</v>
      </c>
      <c r="P9" s="5">
        <v>3624.9322580645162</v>
      </c>
      <c r="Q9" s="5">
        <v>2065.588431590656</v>
      </c>
      <c r="R9" s="5">
        <v>2289.8126436781608</v>
      </c>
      <c r="S9" s="5">
        <v>2419.8166666666666</v>
      </c>
      <c r="T9" s="5">
        <v>2353.9913793103451</v>
      </c>
      <c r="U9" s="5">
        <v>2292.7586206896553</v>
      </c>
      <c r="V9" s="5">
        <v>2383.7142857142858</v>
      </c>
      <c r="W9" s="5">
        <v>2235.7373271889401</v>
      </c>
      <c r="X9" s="5">
        <v>3912.9233870967741</v>
      </c>
      <c r="Y9" s="6">
        <v>6749.5661764705883</v>
      </c>
      <c r="Z9" s="5">
        <v>7736.851926977688</v>
      </c>
      <c r="AA9" s="5">
        <v>7754.2068965517246</v>
      </c>
      <c r="AB9" s="5">
        <v>11225.931034482757</v>
      </c>
      <c r="AC9" s="5">
        <v>13071.402298850573</v>
      </c>
      <c r="AD9" s="5">
        <v>13248.885416666666</v>
      </c>
      <c r="AE9" s="5">
        <v>13808.314583333333</v>
      </c>
      <c r="AF9" s="5">
        <v>15963.363218390805</v>
      </c>
      <c r="AG9" s="5">
        <v>15047.436781609194</v>
      </c>
      <c r="AH9" s="5">
        <v>13246.977011494255</v>
      </c>
      <c r="AI9" s="5">
        <v>13233.344827586207</v>
      </c>
      <c r="AJ9" s="5">
        <v>15401.67816091954</v>
      </c>
      <c r="AK9" s="6">
        <v>15548.212121212124</v>
      </c>
      <c r="AL9" s="4">
        <v>15612.040752351097</v>
      </c>
      <c r="AM9" s="5">
        <v>15978.827586206895</v>
      </c>
      <c r="AN9" s="5">
        <v>19249.586206896551</v>
      </c>
      <c r="AO9" s="5">
        <v>17998</v>
      </c>
      <c r="AP9" s="5">
        <v>18786</v>
      </c>
      <c r="AQ9" s="5">
        <v>18461</v>
      </c>
      <c r="AR9" s="5">
        <v>14302</v>
      </c>
      <c r="AS9" s="5">
        <v>17204</v>
      </c>
      <c r="AT9" s="5">
        <v>16233</v>
      </c>
      <c r="AU9" s="5">
        <v>14441</v>
      </c>
      <c r="AV9" s="5">
        <v>17235</v>
      </c>
      <c r="AW9" s="6">
        <v>17729</v>
      </c>
      <c r="AX9" s="53"/>
      <c r="AY9" s="223"/>
    </row>
    <row r="10" spans="2:51" x14ac:dyDescent="0.25">
      <c r="B10" s="223"/>
      <c r="D10" s="66">
        <v>42723</v>
      </c>
      <c r="E10" s="66">
        <v>43800</v>
      </c>
      <c r="F10" s="469">
        <v>7455100000</v>
      </c>
      <c r="G10" s="19">
        <v>0</v>
      </c>
      <c r="H10" s="6">
        <v>0</v>
      </c>
      <c r="I10" s="67" t="s">
        <v>15</v>
      </c>
      <c r="J10" s="19">
        <v>19615.860416666663</v>
      </c>
      <c r="K10" s="19">
        <v>58298.963235294112</v>
      </c>
      <c r="L10" s="19">
        <v>50174.411764705881</v>
      </c>
      <c r="M10" s="404">
        <v>128089.23541666666</v>
      </c>
      <c r="N10" s="4">
        <v>3803.6</v>
      </c>
      <c r="O10" s="5">
        <v>3119.0454545454545</v>
      </c>
      <c r="P10" s="5">
        <v>1622.1097178683385</v>
      </c>
      <c r="Q10" s="5">
        <v>1078.7931034482758</v>
      </c>
      <c r="R10" s="5">
        <v>1211.0517241379312</v>
      </c>
      <c r="S10" s="5">
        <v>1068.96875</v>
      </c>
      <c r="T10" s="5">
        <v>612.5797101449275</v>
      </c>
      <c r="U10" s="5">
        <v>831.695652173913</v>
      </c>
      <c r="V10" s="5">
        <v>810.6018306636156</v>
      </c>
      <c r="W10" s="5">
        <v>1185.522807017544</v>
      </c>
      <c r="X10" s="5">
        <v>1861.4181818181819</v>
      </c>
      <c r="Y10" s="6">
        <v>2410.473484848485</v>
      </c>
      <c r="Z10" s="5">
        <v>2456.875</v>
      </c>
      <c r="AA10" s="5">
        <v>2059.4655172413795</v>
      </c>
      <c r="AB10" s="5">
        <v>1974.5862068965516</v>
      </c>
      <c r="AC10" s="5">
        <v>1125.7241379310344</v>
      </c>
      <c r="AD10" s="5">
        <v>1375.3908045977009</v>
      </c>
      <c r="AE10" s="5">
        <v>4659.166666666667</v>
      </c>
      <c r="AF10" s="5">
        <v>9245.7150537634407</v>
      </c>
      <c r="AG10" s="5">
        <v>9310.3607038123155</v>
      </c>
      <c r="AH10" s="5">
        <v>8492.2488038277515</v>
      </c>
      <c r="AI10" s="5">
        <v>6262.7796052631575</v>
      </c>
      <c r="AJ10" s="5">
        <v>3512.229166666667</v>
      </c>
      <c r="AK10" s="6">
        <v>7824.4215686274511</v>
      </c>
      <c r="AL10" s="4">
        <v>12279.066937119676</v>
      </c>
      <c r="AM10" s="5">
        <v>9564.9162561576341</v>
      </c>
      <c r="AN10" s="5">
        <v>10121.428571428571</v>
      </c>
      <c r="AO10" s="5">
        <v>9309</v>
      </c>
      <c r="AP10" s="5">
        <v>2569</v>
      </c>
      <c r="AQ10" s="5">
        <v>399</v>
      </c>
      <c r="AR10" s="5">
        <v>493</v>
      </c>
      <c r="AS10" s="5">
        <v>513</v>
      </c>
      <c r="AT10" s="5">
        <v>377</v>
      </c>
      <c r="AU10" s="5">
        <v>875</v>
      </c>
      <c r="AV10" s="5">
        <v>1667</v>
      </c>
      <c r="AW10" s="6">
        <v>2006.9999999999998</v>
      </c>
      <c r="AX10" s="53"/>
      <c r="AY10" s="223"/>
    </row>
    <row r="11" spans="2:51" x14ac:dyDescent="0.25">
      <c r="B11" s="223"/>
      <c r="D11" s="66">
        <v>42731</v>
      </c>
      <c r="E11" s="66">
        <v>43800</v>
      </c>
      <c r="F11" s="469">
        <v>3848100000</v>
      </c>
      <c r="G11" s="19">
        <v>0</v>
      </c>
      <c r="H11" s="6">
        <v>0</v>
      </c>
      <c r="I11" s="67" t="s">
        <v>16</v>
      </c>
      <c r="J11" s="19">
        <v>12232.248053392657</v>
      </c>
      <c r="K11" s="19">
        <v>9680.0967741935456</v>
      </c>
      <c r="L11" s="19">
        <v>228075</v>
      </c>
      <c r="M11" s="404">
        <v>249987.3448275862</v>
      </c>
      <c r="N11" s="4">
        <v>1301.6478578892372</v>
      </c>
      <c r="O11" s="5">
        <v>1121.6969696969697</v>
      </c>
      <c r="P11" s="5">
        <v>1674.2413793103449</v>
      </c>
      <c r="Q11" s="5">
        <v>1094.4827586206898</v>
      </c>
      <c r="R11" s="5">
        <v>818.00919540229881</v>
      </c>
      <c r="S11" s="5">
        <v>599.01666666666665</v>
      </c>
      <c r="T11" s="5">
        <v>553.59482758620686</v>
      </c>
      <c r="U11" s="5">
        <v>389.95517241379309</v>
      </c>
      <c r="V11" s="5">
        <v>540.34516129032249</v>
      </c>
      <c r="W11" s="5">
        <v>1097.7548387096774</v>
      </c>
      <c r="X11" s="5">
        <v>1809.7470588235292</v>
      </c>
      <c r="Y11" s="6">
        <v>1231.7561669829222</v>
      </c>
      <c r="Z11" s="5">
        <v>2610.9717741935483</v>
      </c>
      <c r="AA11" s="5">
        <v>1745.9870689655172</v>
      </c>
      <c r="AB11" s="5">
        <v>1937.7586206896551</v>
      </c>
      <c r="AC11" s="5">
        <v>1647.8944618599792</v>
      </c>
      <c r="AD11" s="5">
        <v>886.82967607105536</v>
      </c>
      <c r="AE11" s="5">
        <v>102.98850574712642</v>
      </c>
      <c r="AF11" s="5">
        <v>102.79569892473118</v>
      </c>
      <c r="AG11" s="5">
        <v>130.77572964669739</v>
      </c>
      <c r="AH11" s="5">
        <v>150.0952380952381</v>
      </c>
      <c r="AI11" s="5">
        <v>0</v>
      </c>
      <c r="AJ11" s="5">
        <v>36.4</v>
      </c>
      <c r="AK11" s="6">
        <v>327.59999999999997</v>
      </c>
      <c r="AL11" s="4">
        <v>0</v>
      </c>
      <c r="AM11" s="5">
        <v>103.82142857142857</v>
      </c>
      <c r="AN11" s="5">
        <v>4972.1785714285716</v>
      </c>
      <c r="AO11" s="5">
        <v>22544</v>
      </c>
      <c r="AP11" s="5">
        <v>25949</v>
      </c>
      <c r="AQ11" s="5">
        <v>23407</v>
      </c>
      <c r="AR11" s="5">
        <v>25573</v>
      </c>
      <c r="AS11" s="5">
        <v>25639</v>
      </c>
      <c r="AT11" s="5">
        <v>23288</v>
      </c>
      <c r="AU11" s="5">
        <v>25333</v>
      </c>
      <c r="AV11" s="5">
        <v>25563</v>
      </c>
      <c r="AW11" s="6">
        <v>25703</v>
      </c>
      <c r="AX11" s="53"/>
      <c r="AY11" s="223"/>
    </row>
    <row r="12" spans="2:51" x14ac:dyDescent="0.25">
      <c r="B12" s="223"/>
      <c r="D12" s="66">
        <v>42724</v>
      </c>
      <c r="E12" s="66">
        <v>43800</v>
      </c>
      <c r="F12" s="469">
        <v>8902134469</v>
      </c>
      <c r="G12" s="19">
        <v>0</v>
      </c>
      <c r="H12" s="6">
        <v>0</v>
      </c>
      <c r="I12" s="67" t="s">
        <v>16</v>
      </c>
      <c r="J12" s="19">
        <v>6208</v>
      </c>
      <c r="K12" s="19">
        <v>1490512.8205128205</v>
      </c>
      <c r="L12" s="19">
        <v>1448853.3333333333</v>
      </c>
      <c r="M12" s="404">
        <v>2945574.153846154</v>
      </c>
      <c r="N12" s="4">
        <v>467.31034482758616</v>
      </c>
      <c r="O12" s="5">
        <v>400.68965517241378</v>
      </c>
      <c r="P12" s="5">
        <v>451.72413793103448</v>
      </c>
      <c r="Q12" s="5">
        <v>380.68965517241378</v>
      </c>
      <c r="R12" s="5">
        <v>327.58620689655174</v>
      </c>
      <c r="S12" s="5">
        <v>308</v>
      </c>
      <c r="T12" s="5">
        <v>335.44827586206895</v>
      </c>
      <c r="U12" s="5">
        <v>326.55172413793105</v>
      </c>
      <c r="V12" s="5">
        <v>385.17241379310349</v>
      </c>
      <c r="W12" s="5">
        <v>544.82758620689651</v>
      </c>
      <c r="X12" s="5">
        <v>1189.090909090909</v>
      </c>
      <c r="Y12" s="6">
        <v>1090.909090909091</v>
      </c>
      <c r="Z12" s="5">
        <v>17872.820512820512</v>
      </c>
      <c r="AA12" s="5">
        <v>10442.298850574713</v>
      </c>
      <c r="AB12" s="5">
        <v>11944.827586206897</v>
      </c>
      <c r="AC12" s="5">
        <v>76543.626251390437</v>
      </c>
      <c r="AD12" s="5">
        <v>193300.6451612903</v>
      </c>
      <c r="AE12" s="5">
        <v>187616.93548387097</v>
      </c>
      <c r="AF12" s="5">
        <v>185098.79310344829</v>
      </c>
      <c r="AG12" s="5">
        <v>172840.4004449388</v>
      </c>
      <c r="AH12" s="5">
        <v>165316.12903225806</v>
      </c>
      <c r="AI12" s="5">
        <v>159936.34408602151</v>
      </c>
      <c r="AJ12" s="5">
        <v>149840</v>
      </c>
      <c r="AK12" s="6">
        <v>159760</v>
      </c>
      <c r="AL12" s="4">
        <v>166221.33333333331</v>
      </c>
      <c r="AM12" s="5">
        <v>147452</v>
      </c>
      <c r="AN12" s="5">
        <v>149180</v>
      </c>
      <c r="AO12" s="5">
        <v>42960</v>
      </c>
      <c r="AP12" s="5">
        <v>2160</v>
      </c>
      <c r="AQ12" s="5">
        <v>80240</v>
      </c>
      <c r="AR12" s="5">
        <v>154080</v>
      </c>
      <c r="AS12" s="5">
        <v>147520</v>
      </c>
      <c r="AT12" s="5">
        <v>134400</v>
      </c>
      <c r="AU12" s="5">
        <v>147120</v>
      </c>
      <c r="AV12" s="5">
        <v>138960</v>
      </c>
      <c r="AW12" s="6">
        <v>138560</v>
      </c>
      <c r="AX12" s="53"/>
      <c r="AY12" s="223"/>
    </row>
    <row r="13" spans="2:51" x14ac:dyDescent="0.25">
      <c r="B13" s="223"/>
      <c r="D13" s="66">
        <v>42723</v>
      </c>
      <c r="E13" s="66">
        <v>43577</v>
      </c>
      <c r="F13" s="469">
        <v>3314839253</v>
      </c>
      <c r="G13" s="19">
        <v>0</v>
      </c>
      <c r="H13" s="6">
        <v>0</v>
      </c>
      <c r="I13" s="67" t="s">
        <v>16</v>
      </c>
      <c r="J13" s="19">
        <v>471874.6875</v>
      </c>
      <c r="K13" s="19">
        <v>400636.17613636365</v>
      </c>
      <c r="L13" s="19">
        <v>91135.779220779208</v>
      </c>
      <c r="M13" s="404">
        <v>963646.64285714284</v>
      </c>
      <c r="N13" s="4">
        <v>42406</v>
      </c>
      <c r="O13" s="5">
        <v>37911.015151515152</v>
      </c>
      <c r="P13" s="5">
        <v>41821.657262277949</v>
      </c>
      <c r="Q13" s="5">
        <v>40841.827586206899</v>
      </c>
      <c r="R13" s="5">
        <v>40779.5</v>
      </c>
      <c r="S13" s="5">
        <v>36677.78125</v>
      </c>
      <c r="T13" s="5">
        <v>36277.615301724138</v>
      </c>
      <c r="U13" s="5">
        <v>37280.236781609201</v>
      </c>
      <c r="V13" s="5">
        <v>39262.415053763441</v>
      </c>
      <c r="W13" s="5">
        <v>39776.918279569887</v>
      </c>
      <c r="X13" s="5">
        <v>37889.927272727276</v>
      </c>
      <c r="Y13" s="6">
        <v>40949.793560606064</v>
      </c>
      <c r="Z13" s="5">
        <v>40717.0625</v>
      </c>
      <c r="AA13" s="5">
        <v>37013.439655172413</v>
      </c>
      <c r="AB13" s="5">
        <v>40917.655172413797</v>
      </c>
      <c r="AC13" s="5">
        <v>38471.586206896551</v>
      </c>
      <c r="AD13" s="5">
        <v>39562.644723092999</v>
      </c>
      <c r="AE13" s="5">
        <v>34219.890909090915</v>
      </c>
      <c r="AF13" s="5">
        <v>27605.791397849462</v>
      </c>
      <c r="AG13" s="5">
        <v>27211.83870967742</v>
      </c>
      <c r="AH13" s="5">
        <v>27568.454949944382</v>
      </c>
      <c r="AI13" s="5">
        <v>30539.854525862069</v>
      </c>
      <c r="AJ13" s="5">
        <v>28209.360416666666</v>
      </c>
      <c r="AK13" s="6">
        <v>28598.59696969697</v>
      </c>
      <c r="AL13" s="4">
        <v>27288.636363636364</v>
      </c>
      <c r="AM13" s="5">
        <v>21753.428571428572</v>
      </c>
      <c r="AN13" s="5">
        <v>21096.571428571428</v>
      </c>
      <c r="AO13" s="5">
        <v>20997.142857142859</v>
      </c>
      <c r="AP13" s="5">
        <v>0</v>
      </c>
      <c r="AQ13" s="5" t="s">
        <v>49</v>
      </c>
      <c r="AR13" s="5" t="s">
        <v>49</v>
      </c>
      <c r="AS13" s="5" t="s">
        <v>49</v>
      </c>
      <c r="AT13" s="5" t="s">
        <v>49</v>
      </c>
      <c r="AU13" s="5" t="s">
        <v>49</v>
      </c>
      <c r="AV13" s="5" t="s">
        <v>49</v>
      </c>
      <c r="AW13" s="6" t="s">
        <v>49</v>
      </c>
      <c r="AX13" s="53"/>
      <c r="AY13" s="223"/>
    </row>
    <row r="14" spans="2:51" x14ac:dyDescent="0.25">
      <c r="B14" s="223"/>
      <c r="D14" s="66">
        <v>42719</v>
      </c>
      <c r="E14" s="66">
        <v>43800</v>
      </c>
      <c r="F14" s="469">
        <v>3199000000</v>
      </c>
      <c r="G14" s="19">
        <v>0</v>
      </c>
      <c r="H14" s="6">
        <v>0</v>
      </c>
      <c r="I14" s="67" t="s">
        <v>16</v>
      </c>
      <c r="J14" s="19">
        <v>267197.3529411765</v>
      </c>
      <c r="K14" s="19">
        <v>437437.6470588235</v>
      </c>
      <c r="L14" s="19">
        <v>432440</v>
      </c>
      <c r="M14" s="404">
        <v>1137075</v>
      </c>
      <c r="N14" s="4">
        <v>66999.137931034493</v>
      </c>
      <c r="O14" s="5">
        <v>48155.862068965522</v>
      </c>
      <c r="P14" s="5">
        <v>30128.275862068964</v>
      </c>
      <c r="Q14" s="5">
        <v>14042.046718576195</v>
      </c>
      <c r="R14" s="5">
        <v>12491.010752688173</v>
      </c>
      <c r="S14" s="5">
        <v>12433.333333333332</v>
      </c>
      <c r="T14" s="5">
        <v>12439.526881720431</v>
      </c>
      <c r="U14" s="5">
        <v>10873.806451612903</v>
      </c>
      <c r="V14" s="5">
        <v>8564.4137931034493</v>
      </c>
      <c r="W14" s="5">
        <v>10192.586206896551</v>
      </c>
      <c r="X14" s="5">
        <v>14893.064516129032</v>
      </c>
      <c r="Y14" s="6">
        <v>25984.288425047438</v>
      </c>
      <c r="Z14" s="5">
        <v>30095.578093306285</v>
      </c>
      <c r="AA14" s="5">
        <v>24529.568965517239</v>
      </c>
      <c r="AB14" s="5">
        <v>25093.879310344826</v>
      </c>
      <c r="AC14" s="5">
        <v>24968.275862068964</v>
      </c>
      <c r="AD14" s="5">
        <v>27629.132706374086</v>
      </c>
      <c r="AE14" s="5">
        <v>27758.545454545456</v>
      </c>
      <c r="AF14" s="5">
        <v>37518.528735632186</v>
      </c>
      <c r="AG14" s="5">
        <v>45984.743991640542</v>
      </c>
      <c r="AH14" s="5">
        <v>45311.807732497386</v>
      </c>
      <c r="AI14" s="5">
        <v>49287.586206896551</v>
      </c>
      <c r="AJ14" s="5">
        <v>49285</v>
      </c>
      <c r="AK14" s="6">
        <v>49975</v>
      </c>
      <c r="AL14" s="4">
        <v>49427.5</v>
      </c>
      <c r="AM14" s="5">
        <v>46052.5</v>
      </c>
      <c r="AN14" s="5">
        <v>44680</v>
      </c>
      <c r="AO14" s="5">
        <v>31896.774193548386</v>
      </c>
      <c r="AP14" s="5">
        <v>29623.225806451614</v>
      </c>
      <c r="AQ14" s="5">
        <v>29720</v>
      </c>
      <c r="AR14" s="5">
        <v>31560</v>
      </c>
      <c r="AS14" s="5">
        <v>32120.000000000004</v>
      </c>
      <c r="AT14" s="5">
        <v>29160</v>
      </c>
      <c r="AU14" s="5">
        <v>33320</v>
      </c>
      <c r="AV14" s="5">
        <v>35200</v>
      </c>
      <c r="AW14" s="6">
        <v>39680</v>
      </c>
      <c r="AX14" s="53"/>
      <c r="AY14" s="223"/>
    </row>
    <row r="15" spans="2:51" x14ac:dyDescent="0.25">
      <c r="B15" s="223"/>
      <c r="D15" s="66">
        <v>42725</v>
      </c>
      <c r="E15" s="66">
        <v>43800</v>
      </c>
      <c r="F15" s="469">
        <v>2057100000</v>
      </c>
      <c r="G15" s="19">
        <v>0</v>
      </c>
      <c r="H15" s="6">
        <v>0</v>
      </c>
      <c r="I15" s="67" t="s">
        <v>16</v>
      </c>
      <c r="J15" s="19">
        <v>95454.117647058825</v>
      </c>
      <c r="K15" s="19">
        <v>1518006.5275142316</v>
      </c>
      <c r="L15" s="19">
        <v>1640433.3203559511</v>
      </c>
      <c r="M15" s="404">
        <v>3253893.9655172415</v>
      </c>
      <c r="N15" s="4">
        <v>16450</v>
      </c>
      <c r="O15" s="5">
        <v>9378.9655172413804</v>
      </c>
      <c r="P15" s="5">
        <v>7947.5862068965525</v>
      </c>
      <c r="Q15" s="5">
        <v>5925.5172413793107</v>
      </c>
      <c r="R15" s="5">
        <v>4510.4310344827591</v>
      </c>
      <c r="S15" s="5">
        <v>3032.8333333333335</v>
      </c>
      <c r="T15" s="5">
        <v>3000.1839080459768</v>
      </c>
      <c r="U15" s="5">
        <v>2329.4827586206893</v>
      </c>
      <c r="V15" s="5">
        <v>1609.6153846153848</v>
      </c>
      <c r="W15" s="5">
        <v>1895.3846153846155</v>
      </c>
      <c r="X15" s="5">
        <v>2230.30303030303</v>
      </c>
      <c r="Y15" s="6">
        <v>37143.814616755793</v>
      </c>
      <c r="Z15" s="5">
        <v>100577.88235294117</v>
      </c>
      <c r="AA15" s="5">
        <v>116889.37931034483</v>
      </c>
      <c r="AB15" s="5">
        <v>129233.45939933258</v>
      </c>
      <c r="AC15" s="5">
        <v>125456.1957730812</v>
      </c>
      <c r="AD15" s="5">
        <v>126419.93325917688</v>
      </c>
      <c r="AE15" s="5">
        <v>119954.03225806452</v>
      </c>
      <c r="AF15" s="5">
        <v>127377.75862068965</v>
      </c>
      <c r="AG15" s="5">
        <v>135502.69592476488</v>
      </c>
      <c r="AH15" s="5">
        <v>132353.85579937306</v>
      </c>
      <c r="AI15" s="5">
        <v>136994.8832035595</v>
      </c>
      <c r="AJ15" s="5">
        <v>132830.96774193548</v>
      </c>
      <c r="AK15" s="6">
        <v>134415.48387096776</v>
      </c>
      <c r="AL15" s="4">
        <v>134359.3548387097</v>
      </c>
      <c r="AM15" s="5">
        <v>122602.85714285714</v>
      </c>
      <c r="AN15" s="5">
        <v>138377.14285714284</v>
      </c>
      <c r="AO15" s="5">
        <v>145489.6551724138</v>
      </c>
      <c r="AP15" s="5">
        <v>150339.31034482759</v>
      </c>
      <c r="AQ15" s="5">
        <v>137025</v>
      </c>
      <c r="AR15" s="5">
        <v>145600</v>
      </c>
      <c r="AS15" s="5">
        <v>132080</v>
      </c>
      <c r="AT15" s="5">
        <v>130640.00000000001</v>
      </c>
      <c r="AU15" s="5">
        <v>132960</v>
      </c>
      <c r="AV15" s="5">
        <v>134000</v>
      </c>
      <c r="AW15" s="6">
        <v>136960</v>
      </c>
      <c r="AX15" s="53"/>
      <c r="AY15" s="223"/>
    </row>
    <row r="16" spans="2:51" x14ac:dyDescent="0.25">
      <c r="B16" s="223"/>
      <c r="D16" s="66">
        <v>43103</v>
      </c>
      <c r="E16" s="66">
        <v>43800</v>
      </c>
      <c r="F16" s="469">
        <v>8918635834</v>
      </c>
      <c r="G16" s="19">
        <v>3253</v>
      </c>
      <c r="H16" s="6">
        <v>2741.2043478260866</v>
      </c>
      <c r="I16" s="67" t="s">
        <v>17</v>
      </c>
      <c r="J16" s="19">
        <v>0</v>
      </c>
      <c r="K16" s="19">
        <v>24679718.279569894</v>
      </c>
      <c r="L16" s="19">
        <v>14786640</v>
      </c>
      <c r="M16" s="404">
        <v>39466358.279569894</v>
      </c>
      <c r="N16" s="4" t="s">
        <v>49</v>
      </c>
      <c r="O16" s="5" t="s">
        <v>49</v>
      </c>
      <c r="P16" s="5" t="s">
        <v>49</v>
      </c>
      <c r="Q16" s="5" t="s">
        <v>49</v>
      </c>
      <c r="R16" s="5" t="s">
        <v>49</v>
      </c>
      <c r="S16" s="5" t="s">
        <v>49</v>
      </c>
      <c r="T16" s="5" t="s">
        <v>49</v>
      </c>
      <c r="U16" s="5" t="s">
        <v>49</v>
      </c>
      <c r="V16" s="5" t="s">
        <v>49</v>
      </c>
      <c r="W16" s="5" t="s">
        <v>49</v>
      </c>
      <c r="X16" s="5" t="s">
        <v>49</v>
      </c>
      <c r="Y16" s="6" t="s">
        <v>49</v>
      </c>
      <c r="Z16" s="5">
        <v>2054466.6666666667</v>
      </c>
      <c r="AA16" s="5">
        <v>1851500</v>
      </c>
      <c r="AB16" s="5">
        <v>2121913.7931034481</v>
      </c>
      <c r="AC16" s="5">
        <v>2064758.620689655</v>
      </c>
      <c r="AD16" s="5">
        <v>2220645.7680250783</v>
      </c>
      <c r="AE16" s="5">
        <v>2200147.3354231976</v>
      </c>
      <c r="AF16" s="5">
        <v>2297867.8160919542</v>
      </c>
      <c r="AG16" s="5">
        <v>2244166.6666666665</v>
      </c>
      <c r="AH16" s="5">
        <v>2117241.3793103443</v>
      </c>
      <c r="AI16" s="5">
        <v>2021958.6206896552</v>
      </c>
      <c r="AJ16" s="5">
        <v>1752545.4545454546</v>
      </c>
      <c r="AK16" s="6">
        <v>1732506.1583577713</v>
      </c>
      <c r="AL16" s="4">
        <v>735840</v>
      </c>
      <c r="AM16" s="5" t="s">
        <v>49</v>
      </c>
      <c r="AN16" s="5" t="s">
        <v>49</v>
      </c>
      <c r="AO16" s="5">
        <v>552000</v>
      </c>
      <c r="AP16" s="5">
        <v>1738800</v>
      </c>
      <c r="AQ16" s="5">
        <v>1749300</v>
      </c>
      <c r="AR16" s="5">
        <v>1862700</v>
      </c>
      <c r="AS16" s="5">
        <v>1824900</v>
      </c>
      <c r="AT16" s="5">
        <v>1593900</v>
      </c>
      <c r="AU16" s="5">
        <v>1591800</v>
      </c>
      <c r="AV16" s="5">
        <v>1591800</v>
      </c>
      <c r="AW16" s="6">
        <v>1545600</v>
      </c>
      <c r="AX16" s="53"/>
      <c r="AY16" s="223"/>
    </row>
    <row r="17" spans="2:51" x14ac:dyDescent="0.25">
      <c r="B17" s="223"/>
      <c r="D17" s="66">
        <v>43111</v>
      </c>
      <c r="E17" s="66">
        <v>43800</v>
      </c>
      <c r="F17" s="469">
        <v>403026638</v>
      </c>
      <c r="G17" s="19">
        <v>440.96</v>
      </c>
      <c r="H17" s="6">
        <v>392.24959999999999</v>
      </c>
      <c r="I17" s="67" t="s">
        <v>17</v>
      </c>
      <c r="J17" s="19">
        <v>0</v>
      </c>
      <c r="K17" s="19">
        <v>3406195.5080213905</v>
      </c>
      <c r="L17" s="19">
        <v>2900232.7272727275</v>
      </c>
      <c r="M17" s="404">
        <v>6306428.2352941185</v>
      </c>
      <c r="N17" s="4" t="s">
        <v>49</v>
      </c>
      <c r="O17" s="5" t="s">
        <v>49</v>
      </c>
      <c r="P17" s="5" t="s">
        <v>49</v>
      </c>
      <c r="Q17" s="5" t="s">
        <v>49</v>
      </c>
      <c r="R17" s="5" t="s">
        <v>49</v>
      </c>
      <c r="S17" s="5" t="s">
        <v>49</v>
      </c>
      <c r="T17" s="5" t="s">
        <v>49</v>
      </c>
      <c r="U17" s="5" t="s">
        <v>49</v>
      </c>
      <c r="V17" s="5" t="s">
        <v>49</v>
      </c>
      <c r="W17" s="5" t="s">
        <v>49</v>
      </c>
      <c r="X17" s="5" t="s">
        <v>49</v>
      </c>
      <c r="Y17" s="6" t="s">
        <v>49</v>
      </c>
      <c r="Z17" s="5">
        <v>237479.26977687626</v>
      </c>
      <c r="AA17" s="5">
        <v>228648.96551724139</v>
      </c>
      <c r="AB17" s="5">
        <v>270484.8275862069</v>
      </c>
      <c r="AC17" s="5">
        <v>285958.62068965519</v>
      </c>
      <c r="AD17" s="5">
        <v>306469.88505747129</v>
      </c>
      <c r="AE17" s="5">
        <v>301093.33333333331</v>
      </c>
      <c r="AF17" s="5">
        <v>307697.47126436781</v>
      </c>
      <c r="AG17" s="5">
        <v>308595.86206896551</v>
      </c>
      <c r="AH17" s="5">
        <v>292270.3448275862</v>
      </c>
      <c r="AI17" s="5">
        <v>295520</v>
      </c>
      <c r="AJ17" s="5">
        <v>283516.32183908042</v>
      </c>
      <c r="AK17" s="6">
        <v>288460.60606060602</v>
      </c>
      <c r="AL17" s="4">
        <v>283041.00313479622</v>
      </c>
      <c r="AM17" s="5">
        <v>250504.8275862069</v>
      </c>
      <c r="AN17" s="5">
        <v>259486.89655172412</v>
      </c>
      <c r="AO17" s="5">
        <v>240800</v>
      </c>
      <c r="AP17" s="5">
        <v>0</v>
      </c>
      <c r="AQ17" s="5">
        <v>227200</v>
      </c>
      <c r="AR17" s="5">
        <v>228000</v>
      </c>
      <c r="AS17" s="5">
        <v>223840</v>
      </c>
      <c r="AT17" s="5">
        <v>293920</v>
      </c>
      <c r="AU17" s="5">
        <v>311520</v>
      </c>
      <c r="AV17" s="5">
        <v>290400</v>
      </c>
      <c r="AW17" s="6">
        <v>291520</v>
      </c>
      <c r="AX17" s="53"/>
      <c r="AY17" s="223"/>
    </row>
    <row r="18" spans="2:51" x14ac:dyDescent="0.25">
      <c r="B18" s="223"/>
      <c r="D18" s="66">
        <v>42724</v>
      </c>
      <c r="E18" s="66">
        <v>43822</v>
      </c>
      <c r="F18" s="469">
        <v>9374203699</v>
      </c>
      <c r="G18" s="19">
        <v>240.24</v>
      </c>
      <c r="H18" s="6">
        <v>160.8324324324324</v>
      </c>
      <c r="I18" s="67" t="s">
        <v>17</v>
      </c>
      <c r="J18" s="19">
        <v>1396880</v>
      </c>
      <c r="K18" s="19">
        <v>1283786.6666666665</v>
      </c>
      <c r="L18" s="19">
        <v>740690.76333973778</v>
      </c>
      <c r="M18" s="404">
        <v>3421357.4300064044</v>
      </c>
      <c r="N18" s="4">
        <v>119933.79310344828</v>
      </c>
      <c r="O18" s="5">
        <v>64086.206896551725</v>
      </c>
      <c r="P18" s="5">
        <v>96026.896551724145</v>
      </c>
      <c r="Q18" s="5">
        <v>123757.24137931033</v>
      </c>
      <c r="R18" s="5">
        <v>130900.86206896551</v>
      </c>
      <c r="S18" s="5">
        <v>122431</v>
      </c>
      <c r="T18" s="5">
        <v>118544</v>
      </c>
      <c r="U18" s="5">
        <v>100902.5</v>
      </c>
      <c r="V18" s="5">
        <v>94294.741379310348</v>
      </c>
      <c r="W18" s="5">
        <v>124082.75862068965</v>
      </c>
      <c r="X18" s="5">
        <v>147672.72727272729</v>
      </c>
      <c r="Y18" s="6">
        <v>154247.27272727274</v>
      </c>
      <c r="Z18" s="5">
        <v>148133.33333333331</v>
      </c>
      <c r="AA18" s="5">
        <v>127919.08045977011</v>
      </c>
      <c r="AB18" s="5">
        <v>142259.31034482759</v>
      </c>
      <c r="AC18" s="5">
        <v>134072.79199110123</v>
      </c>
      <c r="AD18" s="5">
        <v>130578.06451612903</v>
      </c>
      <c r="AE18" s="5">
        <v>126627.41935483871</v>
      </c>
      <c r="AF18" s="5">
        <v>132490</v>
      </c>
      <c r="AG18" s="5">
        <v>27920</v>
      </c>
      <c r="AH18" s="5">
        <v>17651.612903225807</v>
      </c>
      <c r="AI18" s="5">
        <v>50295.053763440868</v>
      </c>
      <c r="AJ18" s="5">
        <v>88666.666666666657</v>
      </c>
      <c r="AK18" s="6">
        <v>157173.33333333331</v>
      </c>
      <c r="AL18" s="4">
        <v>158381.33333333334</v>
      </c>
      <c r="AM18" s="5" t="s">
        <v>49</v>
      </c>
      <c r="AN18" s="5">
        <v>46903.870967741939</v>
      </c>
      <c r="AO18" s="5">
        <v>23076.129032258064</v>
      </c>
      <c r="AP18" s="5">
        <v>16622.42424242424</v>
      </c>
      <c r="AQ18" s="5" t="s">
        <v>49</v>
      </c>
      <c r="AR18" s="5">
        <v>76915.862068965507</v>
      </c>
      <c r="AS18" s="5">
        <v>129847.27272727274</v>
      </c>
      <c r="AT18" s="5" t="s">
        <v>49</v>
      </c>
      <c r="AU18" s="5">
        <v>83552.903225806454</v>
      </c>
      <c r="AV18" s="5">
        <v>93251.612903225818</v>
      </c>
      <c r="AW18" s="6">
        <v>112139.35483870967</v>
      </c>
      <c r="AX18" s="53"/>
      <c r="AY18" s="223"/>
    </row>
    <row r="19" spans="2:51" x14ac:dyDescent="0.25">
      <c r="B19" s="223"/>
      <c r="D19" s="66">
        <v>42724</v>
      </c>
      <c r="E19" s="66">
        <v>43800</v>
      </c>
      <c r="F19" s="469">
        <v>9591881044</v>
      </c>
      <c r="G19" s="19">
        <v>1034.4000000000001</v>
      </c>
      <c r="H19" s="6">
        <v>796.9666666666667</v>
      </c>
      <c r="I19" s="67" t="s">
        <v>17</v>
      </c>
      <c r="J19" s="19">
        <v>3211591.7647058824</v>
      </c>
      <c r="K19" s="19">
        <v>7787288.2352941176</v>
      </c>
      <c r="L19" s="19">
        <v>7640000</v>
      </c>
      <c r="M19" s="404">
        <v>18638880</v>
      </c>
      <c r="N19" s="4">
        <v>355017.93103448278</v>
      </c>
      <c r="O19" s="5">
        <v>214337.06896551725</v>
      </c>
      <c r="P19" s="5">
        <v>354256.03448275861</v>
      </c>
      <c r="Q19" s="5">
        <v>160137.93103448275</v>
      </c>
      <c r="R19" s="5">
        <v>147274.78448275861</v>
      </c>
      <c r="S19" s="5">
        <v>135056.25</v>
      </c>
      <c r="T19" s="5">
        <v>136800</v>
      </c>
      <c r="U19" s="5">
        <v>146863.63636363635</v>
      </c>
      <c r="V19" s="5">
        <v>98805.594405594413</v>
      </c>
      <c r="W19" s="5">
        <v>327330.76923076925</v>
      </c>
      <c r="X19" s="5">
        <v>576900</v>
      </c>
      <c r="Y19" s="6">
        <v>558811.76470588241</v>
      </c>
      <c r="Z19" s="5">
        <v>491588.23529411765</v>
      </c>
      <c r="AA19" s="5">
        <v>468468.96551724139</v>
      </c>
      <c r="AB19" s="5">
        <v>615134.48275862075</v>
      </c>
      <c r="AC19" s="5">
        <v>666138.48720800888</v>
      </c>
      <c r="AD19" s="5">
        <v>708038.70967741939</v>
      </c>
      <c r="AE19" s="5">
        <v>701419.3548387097</v>
      </c>
      <c r="AF19" s="5">
        <v>731803.44827586203</v>
      </c>
      <c r="AG19" s="5">
        <v>701354.61624026694</v>
      </c>
      <c r="AH19" s="5">
        <v>675290.32258064521</v>
      </c>
      <c r="AI19" s="5">
        <v>688351.61290322582</v>
      </c>
      <c r="AJ19" s="5">
        <v>659900</v>
      </c>
      <c r="AK19" s="6">
        <v>679800</v>
      </c>
      <c r="AL19" s="4">
        <v>661280</v>
      </c>
      <c r="AM19" s="5">
        <v>589170</v>
      </c>
      <c r="AN19" s="5">
        <v>657150</v>
      </c>
      <c r="AO19" s="5">
        <v>650400</v>
      </c>
      <c r="AP19" s="5">
        <v>618000</v>
      </c>
      <c r="AQ19" s="5">
        <v>659700</v>
      </c>
      <c r="AR19" s="5">
        <v>679500</v>
      </c>
      <c r="AS19" s="5">
        <v>675000</v>
      </c>
      <c r="AT19" s="5">
        <v>567900</v>
      </c>
      <c r="AU19" s="5">
        <v>630900</v>
      </c>
      <c r="AV19" s="5">
        <v>606000</v>
      </c>
      <c r="AW19" s="6">
        <v>645000</v>
      </c>
      <c r="AX19" s="53"/>
      <c r="AY19" s="223"/>
    </row>
    <row r="20" spans="2:51" x14ac:dyDescent="0.25">
      <c r="B20" s="223"/>
      <c r="D20" s="66">
        <v>42712</v>
      </c>
      <c r="E20" s="66">
        <v>43800</v>
      </c>
      <c r="F20" s="469">
        <v>4506838992</v>
      </c>
      <c r="G20" s="19">
        <v>464</v>
      </c>
      <c r="H20" s="6">
        <v>376.92666666666662</v>
      </c>
      <c r="I20" s="67" t="s">
        <v>17</v>
      </c>
      <c r="J20" s="19">
        <v>2423396.4705882357</v>
      </c>
      <c r="K20" s="19">
        <v>3490360.3036053125</v>
      </c>
      <c r="L20" s="19">
        <v>3423223.2258064514</v>
      </c>
      <c r="M20" s="404">
        <v>9336980</v>
      </c>
      <c r="N20" s="4">
        <v>204513.79310344826</v>
      </c>
      <c r="O20" s="5">
        <v>185799.54022988502</v>
      </c>
      <c r="P20" s="5">
        <v>212481.83908045976</v>
      </c>
      <c r="Q20" s="5">
        <v>198365.4727474972</v>
      </c>
      <c r="R20" s="5">
        <v>204523.35483870967</v>
      </c>
      <c r="S20" s="5">
        <v>203728</v>
      </c>
      <c r="T20" s="5">
        <v>210685.4193548387</v>
      </c>
      <c r="U20" s="5">
        <v>210055.91397849459</v>
      </c>
      <c r="V20" s="5">
        <v>194487.35632183906</v>
      </c>
      <c r="W20" s="5">
        <v>203936.55172413794</v>
      </c>
      <c r="X20" s="5">
        <v>170859.22920892495</v>
      </c>
      <c r="Y20" s="6">
        <v>223960</v>
      </c>
      <c r="Z20" s="5">
        <v>276507.66734279919</v>
      </c>
      <c r="AA20" s="5">
        <v>267690.86206896551</v>
      </c>
      <c r="AB20" s="5">
        <v>305765.68965517241</v>
      </c>
      <c r="AC20" s="5">
        <v>286601.37931034481</v>
      </c>
      <c r="AD20" s="5">
        <v>294319.7492163009</v>
      </c>
      <c r="AE20" s="5">
        <v>295738.18181818182</v>
      </c>
      <c r="AF20" s="5">
        <v>306510.3448275862</v>
      </c>
      <c r="AG20" s="5">
        <v>300970.86729362595</v>
      </c>
      <c r="AH20" s="5">
        <v>285864.99477533961</v>
      </c>
      <c r="AI20" s="5">
        <v>292206.89655172417</v>
      </c>
      <c r="AJ20" s="5">
        <v>283452.95715778472</v>
      </c>
      <c r="AK20" s="6">
        <v>294730.71358748781</v>
      </c>
      <c r="AL20" s="4">
        <v>295223.22580645164</v>
      </c>
      <c r="AM20" s="5">
        <v>266659.31034482759</v>
      </c>
      <c r="AN20" s="5">
        <v>302460.68965517241</v>
      </c>
      <c r="AO20" s="5">
        <v>307040</v>
      </c>
      <c r="AP20" s="5">
        <v>324800</v>
      </c>
      <c r="AQ20" s="5">
        <v>311920</v>
      </c>
      <c r="AR20" s="5">
        <v>298160</v>
      </c>
      <c r="AS20" s="5">
        <v>265600</v>
      </c>
      <c r="AT20" s="5">
        <v>226800</v>
      </c>
      <c r="AU20" s="5">
        <v>265120</v>
      </c>
      <c r="AV20" s="5">
        <v>276880</v>
      </c>
      <c r="AW20" s="6">
        <v>282560</v>
      </c>
      <c r="AX20" s="53"/>
      <c r="AY20" s="223"/>
    </row>
    <row r="21" spans="2:51" x14ac:dyDescent="0.25">
      <c r="B21" s="223"/>
      <c r="D21" s="66">
        <v>42712</v>
      </c>
      <c r="E21" s="66">
        <v>43800</v>
      </c>
      <c r="F21" s="469">
        <v>7374993453</v>
      </c>
      <c r="G21" s="19">
        <v>678.88</v>
      </c>
      <c r="H21" s="6">
        <v>574.99555555555571</v>
      </c>
      <c r="I21" s="67" t="s">
        <v>17</v>
      </c>
      <c r="J21" s="19">
        <v>4144308.2352941181</v>
      </c>
      <c r="K21" s="19">
        <v>5064549.8292220114</v>
      </c>
      <c r="L21" s="19">
        <v>5032701.935483871</v>
      </c>
      <c r="M21" s="404">
        <v>14241560</v>
      </c>
      <c r="N21" s="4">
        <v>310348.96551724139</v>
      </c>
      <c r="O21" s="5">
        <v>281632.36781609198</v>
      </c>
      <c r="P21" s="5">
        <v>301479.35632183909</v>
      </c>
      <c r="Q21" s="5">
        <v>279676.08453837602</v>
      </c>
      <c r="R21" s="5">
        <v>298471.22580645164</v>
      </c>
      <c r="S21" s="5">
        <v>308544</v>
      </c>
      <c r="T21" s="5">
        <v>352076.38709677418</v>
      </c>
      <c r="U21" s="5">
        <v>387491.61290322582</v>
      </c>
      <c r="V21" s="5">
        <v>389393.10344827588</v>
      </c>
      <c r="W21" s="5">
        <v>422902.06896551722</v>
      </c>
      <c r="X21" s="5">
        <v>355427.18052738335</v>
      </c>
      <c r="Y21" s="6">
        <v>456865.8823529412</v>
      </c>
      <c r="Z21" s="5">
        <v>460948.31643002032</v>
      </c>
      <c r="AA21" s="5">
        <v>405833.44827586209</v>
      </c>
      <c r="AB21" s="5">
        <v>456881.03448275861</v>
      </c>
      <c r="AC21" s="5">
        <v>420595.86206896551</v>
      </c>
      <c r="AD21" s="5">
        <v>417157.95193312434</v>
      </c>
      <c r="AE21" s="5">
        <v>405168.48484848486</v>
      </c>
      <c r="AF21" s="5">
        <v>408365.97701149422</v>
      </c>
      <c r="AG21" s="5">
        <v>404768.56844305119</v>
      </c>
      <c r="AH21" s="5">
        <v>394867.29362591432</v>
      </c>
      <c r="AI21" s="5">
        <v>422758.62068965519</v>
      </c>
      <c r="AJ21" s="5">
        <v>423334.08568443049</v>
      </c>
      <c r="AK21" s="6">
        <v>443870.18572825025</v>
      </c>
      <c r="AL21" s="4">
        <v>449176.77419354836</v>
      </c>
      <c r="AM21" s="5">
        <v>418151.36818687432</v>
      </c>
      <c r="AN21" s="5">
        <v>469053.79310344823</v>
      </c>
      <c r="AO21" s="5">
        <v>456615.38461538462</v>
      </c>
      <c r="AP21" s="5">
        <v>502904.61538461538</v>
      </c>
      <c r="AQ21" s="5">
        <v>445440</v>
      </c>
      <c r="AR21" s="5">
        <v>431200</v>
      </c>
      <c r="AS21" s="5">
        <v>373120</v>
      </c>
      <c r="AT21" s="5">
        <v>332320</v>
      </c>
      <c r="AU21" s="5">
        <v>380640</v>
      </c>
      <c r="AV21" s="5">
        <v>390400</v>
      </c>
      <c r="AW21" s="6">
        <v>383680</v>
      </c>
      <c r="AX21" s="53"/>
      <c r="AY21" s="223"/>
    </row>
    <row r="22" spans="2:51" x14ac:dyDescent="0.25">
      <c r="B22" s="223"/>
      <c r="D22" s="66">
        <v>42712</v>
      </c>
      <c r="E22" s="66">
        <v>43800</v>
      </c>
      <c r="F22" s="469">
        <v>8544517434</v>
      </c>
      <c r="G22" s="19">
        <v>702.6</v>
      </c>
      <c r="H22" s="6">
        <v>546.83333333333348</v>
      </c>
      <c r="I22" s="67" t="s">
        <v>17</v>
      </c>
      <c r="J22" s="19">
        <v>3406495.5882352935</v>
      </c>
      <c r="K22" s="19">
        <v>4755877.7988614794</v>
      </c>
      <c r="L22" s="19">
        <v>5188451.6129032262</v>
      </c>
      <c r="M22" s="404">
        <v>13350825</v>
      </c>
      <c r="N22" s="4">
        <v>270607.75862068968</v>
      </c>
      <c r="O22" s="5">
        <v>248677.24137931035</v>
      </c>
      <c r="P22" s="5">
        <v>271853.79310344829</v>
      </c>
      <c r="Q22" s="5">
        <v>214734.59399332595</v>
      </c>
      <c r="R22" s="5">
        <v>213911.61290322582</v>
      </c>
      <c r="S22" s="5">
        <v>240120</v>
      </c>
      <c r="T22" s="5">
        <v>286958.70967741939</v>
      </c>
      <c r="U22" s="5">
        <v>294461.29032258067</v>
      </c>
      <c r="V22" s="5">
        <v>291896.55172413797</v>
      </c>
      <c r="W22" s="5">
        <v>316179.31034482759</v>
      </c>
      <c r="X22" s="5">
        <v>265606.49087221094</v>
      </c>
      <c r="Y22" s="6">
        <v>491488.23529411771</v>
      </c>
      <c r="Z22" s="5">
        <v>459808.7221095335</v>
      </c>
      <c r="AA22" s="5">
        <v>385033.18965517241</v>
      </c>
      <c r="AB22" s="5">
        <v>427801.29310344823</v>
      </c>
      <c r="AC22" s="5">
        <v>392896.55172413791</v>
      </c>
      <c r="AD22" s="5">
        <v>382889.6551724138</v>
      </c>
      <c r="AE22" s="5">
        <v>354200</v>
      </c>
      <c r="AF22" s="5">
        <v>352024.13793103449</v>
      </c>
      <c r="AG22" s="5">
        <v>356257.68025078368</v>
      </c>
      <c r="AH22" s="5">
        <v>356852.66457680252</v>
      </c>
      <c r="AI22" s="5">
        <v>401596.55172413791</v>
      </c>
      <c r="AJ22" s="5">
        <v>428859.87460815045</v>
      </c>
      <c r="AK22" s="6">
        <v>457657.47800586512</v>
      </c>
      <c r="AL22" s="4">
        <v>463858.06451612903</v>
      </c>
      <c r="AM22" s="5">
        <v>424103.89321468299</v>
      </c>
      <c r="AN22" s="5">
        <v>463189.6551724138</v>
      </c>
      <c r="AO22" s="5">
        <v>480600</v>
      </c>
      <c r="AP22" s="5">
        <v>501900</v>
      </c>
      <c r="AQ22" s="5">
        <v>473100</v>
      </c>
      <c r="AR22" s="5">
        <v>467100</v>
      </c>
      <c r="AS22" s="5">
        <v>418800</v>
      </c>
      <c r="AT22" s="5">
        <v>309600</v>
      </c>
      <c r="AU22" s="5">
        <v>385200</v>
      </c>
      <c r="AV22" s="5">
        <v>409800</v>
      </c>
      <c r="AW22" s="6">
        <v>391200</v>
      </c>
      <c r="AX22" s="53"/>
      <c r="AY22" s="223"/>
    </row>
    <row r="23" spans="2:51" x14ac:dyDescent="0.25">
      <c r="B23" s="223"/>
      <c r="D23" s="66">
        <v>43556</v>
      </c>
      <c r="E23" s="66">
        <v>43800</v>
      </c>
      <c r="F23" s="469">
        <v>6278239538</v>
      </c>
      <c r="G23" s="19">
        <v>3532.2</v>
      </c>
      <c r="H23" s="6">
        <v>3241.4666666666672</v>
      </c>
      <c r="I23" s="67" t="s">
        <v>17</v>
      </c>
      <c r="J23" s="19">
        <v>0</v>
      </c>
      <c r="K23" s="19">
        <v>0</v>
      </c>
      <c r="L23" s="19">
        <v>19795500</v>
      </c>
      <c r="M23" s="404">
        <v>19795500</v>
      </c>
      <c r="N23" s="4" t="s">
        <v>49</v>
      </c>
      <c r="O23" s="5" t="s">
        <v>49</v>
      </c>
      <c r="P23" s="5" t="s">
        <v>49</v>
      </c>
      <c r="Q23" s="5" t="s">
        <v>49</v>
      </c>
      <c r="R23" s="5" t="s">
        <v>49</v>
      </c>
      <c r="S23" s="5" t="s">
        <v>49</v>
      </c>
      <c r="T23" s="5" t="s">
        <v>49</v>
      </c>
      <c r="U23" s="5" t="s">
        <v>49</v>
      </c>
      <c r="V23" s="5" t="s">
        <v>49</v>
      </c>
      <c r="W23" s="5" t="s">
        <v>49</v>
      </c>
      <c r="X23" s="5" t="s">
        <v>49</v>
      </c>
      <c r="Y23" s="6" t="s">
        <v>49</v>
      </c>
      <c r="Z23" s="5" t="s">
        <v>49</v>
      </c>
      <c r="AA23" s="5" t="s">
        <v>49</v>
      </c>
      <c r="AB23" s="5" t="s">
        <v>49</v>
      </c>
      <c r="AC23" s="5" t="s">
        <v>49</v>
      </c>
      <c r="AD23" s="5" t="s">
        <v>49</v>
      </c>
      <c r="AE23" s="5" t="s">
        <v>49</v>
      </c>
      <c r="AF23" s="5" t="s">
        <v>49</v>
      </c>
      <c r="AG23" s="5" t="s">
        <v>49</v>
      </c>
      <c r="AH23" s="5" t="s">
        <v>49</v>
      </c>
      <c r="AI23" s="5" t="s">
        <v>49</v>
      </c>
      <c r="AJ23" s="5" t="s">
        <v>49</v>
      </c>
      <c r="AK23" s="6" t="s">
        <v>49</v>
      </c>
      <c r="AL23" s="4" t="s">
        <v>49</v>
      </c>
      <c r="AM23" s="5" t="s">
        <v>49</v>
      </c>
      <c r="AN23" s="5" t="s">
        <v>49</v>
      </c>
      <c r="AO23" s="5">
        <v>675000</v>
      </c>
      <c r="AP23" s="5">
        <v>2366700</v>
      </c>
      <c r="AQ23" s="5">
        <v>2364600</v>
      </c>
      <c r="AR23" s="5">
        <v>2496900</v>
      </c>
      <c r="AS23" s="5">
        <v>2492700</v>
      </c>
      <c r="AT23" s="5">
        <v>2394000</v>
      </c>
      <c r="AU23" s="5">
        <v>2419200</v>
      </c>
      <c r="AV23" s="5">
        <v>2259600</v>
      </c>
      <c r="AW23" s="6">
        <v>2326800</v>
      </c>
      <c r="AX23" s="53"/>
      <c r="AY23" s="223"/>
    </row>
    <row r="24" spans="2:51" x14ac:dyDescent="0.25">
      <c r="B24" s="223"/>
      <c r="D24" s="66">
        <v>42705</v>
      </c>
      <c r="E24" s="66">
        <v>43803</v>
      </c>
      <c r="F24" s="469">
        <v>2260246826</v>
      </c>
      <c r="G24" s="19">
        <v>2203.8000000000002</v>
      </c>
      <c r="H24" s="6">
        <v>1933.5942857142861</v>
      </c>
      <c r="I24" s="67" t="s">
        <v>17</v>
      </c>
      <c r="J24" s="19">
        <v>13411489.317154659</v>
      </c>
      <c r="K24" s="19">
        <v>16888431.119544592</v>
      </c>
      <c r="L24" s="19">
        <v>16124940.645161292</v>
      </c>
      <c r="M24" s="404">
        <v>46424861.081860542</v>
      </c>
      <c r="N24" s="4">
        <v>786331.03448275861</v>
      </c>
      <c r="O24" s="5">
        <v>740250</v>
      </c>
      <c r="P24" s="5">
        <v>916451.42857142864</v>
      </c>
      <c r="Q24" s="5">
        <v>889071.42857142864</v>
      </c>
      <c r="R24" s="5">
        <v>942206.25</v>
      </c>
      <c r="S24" s="5">
        <v>1163400</v>
      </c>
      <c r="T24" s="5">
        <v>1390350</v>
      </c>
      <c r="U24" s="5">
        <v>1428254.5454545454</v>
      </c>
      <c r="V24" s="5">
        <v>1471354.8387096776</v>
      </c>
      <c r="W24" s="5">
        <v>1147885.7142857143</v>
      </c>
      <c r="X24" s="5">
        <v>1072551.7241379311</v>
      </c>
      <c r="Y24" s="6">
        <v>1463382.3529411764</v>
      </c>
      <c r="Z24" s="5">
        <v>1194211.7647058824</v>
      </c>
      <c r="AA24" s="5">
        <v>1076775</v>
      </c>
      <c r="AB24" s="5">
        <v>1526914.6551724137</v>
      </c>
      <c r="AC24" s="5">
        <v>1388937.931034483</v>
      </c>
      <c r="AD24" s="5">
        <v>1460336.0501567398</v>
      </c>
      <c r="AE24" s="5">
        <v>1501677.7429467086</v>
      </c>
      <c r="AF24" s="5">
        <v>1530458.6206896552</v>
      </c>
      <c r="AG24" s="5">
        <v>1543300</v>
      </c>
      <c r="AH24" s="5">
        <v>1483386.2068965517</v>
      </c>
      <c r="AI24" s="5">
        <v>1477613.7931034483</v>
      </c>
      <c r="AJ24" s="5">
        <v>1323818.1818181819</v>
      </c>
      <c r="AK24" s="6">
        <v>1381001.1730205277</v>
      </c>
      <c r="AL24" s="4">
        <v>1395948.3870967743</v>
      </c>
      <c r="AM24" s="5">
        <v>1284542.6028921024</v>
      </c>
      <c r="AN24" s="5">
        <v>513475.86206896551</v>
      </c>
      <c r="AO24" s="5">
        <v>1323053.7931034483</v>
      </c>
      <c r="AP24" s="5">
        <v>1453650.9090909092</v>
      </c>
      <c r="AQ24" s="5">
        <v>1397266.2337662338</v>
      </c>
      <c r="AR24" s="5">
        <v>1468170.1298701297</v>
      </c>
      <c r="AS24" s="5">
        <v>1510234.0175953079</v>
      </c>
      <c r="AT24" s="5">
        <v>1454781.5668202764</v>
      </c>
      <c r="AU24" s="5">
        <v>1462757.142857143</v>
      </c>
      <c r="AV24" s="5">
        <v>1409220</v>
      </c>
      <c r="AW24" s="6">
        <v>1451840</v>
      </c>
      <c r="AX24" s="53"/>
      <c r="AY24" s="223"/>
    </row>
    <row r="25" spans="2:51" x14ac:dyDescent="0.25">
      <c r="B25" s="223"/>
      <c r="D25" s="66">
        <v>43088</v>
      </c>
      <c r="E25" s="66">
        <v>43800</v>
      </c>
      <c r="F25" s="469">
        <v>5414207710</v>
      </c>
      <c r="G25" s="19">
        <v>1052.6590000000001</v>
      </c>
      <c r="H25" s="6">
        <v>432.93596000000014</v>
      </c>
      <c r="I25" s="67" t="s">
        <v>17</v>
      </c>
      <c r="J25" s="19">
        <v>116951.5294117647</v>
      </c>
      <c r="K25" s="19">
        <v>3873923.1372549022</v>
      </c>
      <c r="L25" s="19">
        <v>1946133.3333333335</v>
      </c>
      <c r="M25" s="404">
        <v>5937008</v>
      </c>
      <c r="N25" s="4" t="s">
        <v>49</v>
      </c>
      <c r="O25" s="5" t="s">
        <v>49</v>
      </c>
      <c r="P25" s="5" t="s">
        <v>49</v>
      </c>
      <c r="Q25" s="5" t="s">
        <v>49</v>
      </c>
      <c r="R25" s="5" t="s">
        <v>49</v>
      </c>
      <c r="S25" s="5" t="s">
        <v>49</v>
      </c>
      <c r="T25" s="5" t="s">
        <v>49</v>
      </c>
      <c r="U25" s="5" t="s">
        <v>49</v>
      </c>
      <c r="V25" s="5" t="s">
        <v>49</v>
      </c>
      <c r="W25" s="5" t="s">
        <v>49</v>
      </c>
      <c r="X25" s="5" t="s">
        <v>49</v>
      </c>
      <c r="Y25" s="6">
        <v>116951.5294117647</v>
      </c>
      <c r="Z25" s="5">
        <v>322429.80392156867</v>
      </c>
      <c r="AA25" s="5">
        <v>377850.11494252877</v>
      </c>
      <c r="AB25" s="5">
        <v>428303.44827586203</v>
      </c>
      <c r="AC25" s="5">
        <v>421875.68409343716</v>
      </c>
      <c r="AD25" s="5">
        <v>441569.03225806454</v>
      </c>
      <c r="AE25" s="5">
        <v>429448.38709677418</v>
      </c>
      <c r="AF25" s="5">
        <v>428900</v>
      </c>
      <c r="AG25" s="5">
        <v>114960</v>
      </c>
      <c r="AH25" s="5">
        <v>800</v>
      </c>
      <c r="AI25" s="5">
        <v>133013.33333333334</v>
      </c>
      <c r="AJ25" s="5">
        <v>399040</v>
      </c>
      <c r="AK25" s="6">
        <v>375733.33333333337</v>
      </c>
      <c r="AL25" s="4">
        <v>280277.33333333337</v>
      </c>
      <c r="AM25" s="5">
        <v>184456</v>
      </c>
      <c r="AN25" s="5">
        <v>179960</v>
      </c>
      <c r="AO25" s="5">
        <v>52480</v>
      </c>
      <c r="AP25" s="5">
        <v>1440</v>
      </c>
      <c r="AQ25" s="5">
        <v>2720</v>
      </c>
      <c r="AR25" s="5">
        <v>254400</v>
      </c>
      <c r="AS25" s="5">
        <v>218080</v>
      </c>
      <c r="AT25" s="5">
        <v>181280</v>
      </c>
      <c r="AU25" s="5">
        <v>196160</v>
      </c>
      <c r="AV25" s="5">
        <v>199200</v>
      </c>
      <c r="AW25" s="6">
        <v>195680</v>
      </c>
      <c r="AX25" s="53"/>
      <c r="AY25" s="223"/>
    </row>
    <row r="26" spans="2:51" x14ac:dyDescent="0.25">
      <c r="B26" s="223"/>
      <c r="D26" s="66">
        <v>42724</v>
      </c>
      <c r="E26" s="66">
        <v>43822</v>
      </c>
      <c r="F26" s="469">
        <v>4757134854</v>
      </c>
      <c r="G26" s="19">
        <v>240.24</v>
      </c>
      <c r="H26" s="6">
        <v>164.92666666666662</v>
      </c>
      <c r="I26" s="67" t="s">
        <v>17</v>
      </c>
      <c r="J26" s="19">
        <v>1396880</v>
      </c>
      <c r="K26" s="19">
        <v>1283786.6666666665</v>
      </c>
      <c r="L26" s="19">
        <v>698278.89237199584</v>
      </c>
      <c r="M26" s="404">
        <v>3378945.5590386624</v>
      </c>
      <c r="N26" s="24">
        <v>119933.79310344828</v>
      </c>
      <c r="O26" s="7">
        <v>64086.206896551725</v>
      </c>
      <c r="P26" s="7">
        <v>96026.896551724145</v>
      </c>
      <c r="Q26" s="7">
        <v>123757.24137931033</v>
      </c>
      <c r="R26" s="7">
        <v>130900.86206896551</v>
      </c>
      <c r="S26" s="7">
        <v>122431</v>
      </c>
      <c r="T26" s="7">
        <v>118544</v>
      </c>
      <c r="U26" s="7">
        <v>100902.5</v>
      </c>
      <c r="V26" s="7">
        <v>94294.741379310348</v>
      </c>
      <c r="W26" s="7">
        <v>124082.75862068965</v>
      </c>
      <c r="X26" s="7">
        <v>147672.72727272729</v>
      </c>
      <c r="Y26" s="21">
        <v>154247.27272727274</v>
      </c>
      <c r="Z26" s="7">
        <v>148133.33333333331</v>
      </c>
      <c r="AA26" s="7">
        <v>127919.08045977011</v>
      </c>
      <c r="AB26" s="7">
        <v>142259.31034482759</v>
      </c>
      <c r="AC26" s="7">
        <v>134072.79199110123</v>
      </c>
      <c r="AD26" s="7">
        <v>130578.06451612903</v>
      </c>
      <c r="AE26" s="7">
        <v>126627.41935483871</v>
      </c>
      <c r="AF26" s="7">
        <v>132490</v>
      </c>
      <c r="AG26" s="7">
        <v>27920</v>
      </c>
      <c r="AH26" s="7">
        <v>17651.612903225807</v>
      </c>
      <c r="AI26" s="7">
        <v>50295.053763440868</v>
      </c>
      <c r="AJ26" s="7">
        <v>88666.666666666657</v>
      </c>
      <c r="AK26" s="21">
        <v>157173.33333333331</v>
      </c>
      <c r="AL26" s="24">
        <v>108429.33333333334</v>
      </c>
      <c r="AM26" s="5">
        <v>49804</v>
      </c>
      <c r="AN26" s="5">
        <v>46903.870967741939</v>
      </c>
      <c r="AO26" s="5">
        <v>23036.129032258064</v>
      </c>
      <c r="AP26" s="5">
        <v>16762.42424242424</v>
      </c>
      <c r="AQ26" s="5" t="s">
        <v>49</v>
      </c>
      <c r="AR26" s="5">
        <v>76915.862068965507</v>
      </c>
      <c r="AS26" s="5">
        <v>129847.27272727274</v>
      </c>
      <c r="AT26" s="5" t="s">
        <v>49</v>
      </c>
      <c r="AU26" s="5">
        <v>83552.903225806454</v>
      </c>
      <c r="AV26" s="5">
        <v>93251.612903225818</v>
      </c>
      <c r="AW26" s="6">
        <v>69775.483870967742</v>
      </c>
      <c r="AX26" s="53"/>
      <c r="AY26" s="223"/>
    </row>
    <row r="27" spans="2:51" x14ac:dyDescent="0.25">
      <c r="B27" s="223"/>
      <c r="D27" s="66">
        <v>43132</v>
      </c>
      <c r="E27" s="66">
        <v>43831</v>
      </c>
      <c r="F27" s="469">
        <v>494209150</v>
      </c>
      <c r="G27" s="19">
        <v>3477.6</v>
      </c>
      <c r="H27" s="6">
        <v>2751.6727272727276</v>
      </c>
      <c r="I27" s="67" t="s">
        <v>17</v>
      </c>
      <c r="J27" s="19">
        <v>0</v>
      </c>
      <c r="K27" s="19">
        <v>24380851.612903226</v>
      </c>
      <c r="L27" s="19">
        <v>16759377.299563617</v>
      </c>
      <c r="M27" s="404">
        <v>41140228.912466839</v>
      </c>
      <c r="N27" s="4" t="s">
        <v>49</v>
      </c>
      <c r="O27" s="5" t="s">
        <v>49</v>
      </c>
      <c r="P27" s="5" t="s">
        <v>49</v>
      </c>
      <c r="Q27" s="5" t="s">
        <v>49</v>
      </c>
      <c r="R27" s="5" t="s">
        <v>49</v>
      </c>
      <c r="S27" s="5" t="s">
        <v>49</v>
      </c>
      <c r="T27" s="5" t="s">
        <v>49</v>
      </c>
      <c r="U27" s="5" t="s">
        <v>49</v>
      </c>
      <c r="V27" s="5" t="s">
        <v>49</v>
      </c>
      <c r="W27" s="5" t="s">
        <v>49</v>
      </c>
      <c r="X27" s="5" t="s">
        <v>49</v>
      </c>
      <c r="Y27" s="6" t="s">
        <v>49</v>
      </c>
      <c r="Z27" s="5" t="s">
        <v>49</v>
      </c>
      <c r="AA27" s="5">
        <v>1676500</v>
      </c>
      <c r="AB27" s="5">
        <v>2151658.6206896557</v>
      </c>
      <c r="AC27" s="5">
        <v>2242220.6896551726</v>
      </c>
      <c r="AD27" s="5">
        <v>2417475.2351097181</v>
      </c>
      <c r="AE27" s="5">
        <v>2369293.7304075235</v>
      </c>
      <c r="AF27" s="5">
        <v>2452051.7241379311</v>
      </c>
      <c r="AG27" s="5">
        <v>2238281.8181818184</v>
      </c>
      <c r="AH27" s="5">
        <v>2339235.423197492</v>
      </c>
      <c r="AI27" s="5">
        <v>2137582.7586206896</v>
      </c>
      <c r="AJ27" s="5">
        <v>1956818.1818181819</v>
      </c>
      <c r="AK27" s="6">
        <v>2399733.4310850441</v>
      </c>
      <c r="AL27" s="4">
        <v>777948.38709677418</v>
      </c>
      <c r="AM27" s="5">
        <v>0</v>
      </c>
      <c r="AN27" s="5">
        <v>420646.15384615387</v>
      </c>
      <c r="AO27" s="5">
        <v>1125600</v>
      </c>
      <c r="AP27" s="5">
        <v>2026500</v>
      </c>
      <c r="AQ27" s="5">
        <v>2076827.5862068965</v>
      </c>
      <c r="AR27" s="5">
        <v>2146055.1724137929</v>
      </c>
      <c r="AS27" s="5">
        <v>2018100</v>
      </c>
      <c r="AT27" s="5">
        <v>1568700</v>
      </c>
      <c r="AU27" s="5">
        <v>1564500</v>
      </c>
      <c r="AV27" s="5">
        <v>1568700</v>
      </c>
      <c r="AW27" s="6">
        <v>1465800</v>
      </c>
      <c r="AX27" s="53"/>
      <c r="AY27" s="223"/>
    </row>
    <row r="28" spans="2:51" x14ac:dyDescent="0.25">
      <c r="B28" s="223"/>
      <c r="D28" s="66">
        <v>43290</v>
      </c>
      <c r="E28" s="66">
        <v>43800</v>
      </c>
      <c r="F28" s="469">
        <v>4831874580</v>
      </c>
      <c r="G28" s="19">
        <v>1875.9</v>
      </c>
      <c r="H28" s="6">
        <v>1567.8500000000001</v>
      </c>
      <c r="I28" s="67" t="s">
        <v>17</v>
      </c>
      <c r="J28" s="19">
        <v>0</v>
      </c>
      <c r="K28" s="19">
        <v>5698400.0000000009</v>
      </c>
      <c r="L28" s="19">
        <v>13144318.181818182</v>
      </c>
      <c r="M28" s="404">
        <v>18842718.181818184</v>
      </c>
      <c r="N28" s="4" t="s">
        <v>49</v>
      </c>
      <c r="O28" s="5" t="s">
        <v>49</v>
      </c>
      <c r="P28" s="5" t="s">
        <v>49</v>
      </c>
      <c r="Q28" s="5" t="s">
        <v>49</v>
      </c>
      <c r="R28" s="5" t="s">
        <v>49</v>
      </c>
      <c r="S28" s="5" t="s">
        <v>49</v>
      </c>
      <c r="T28" s="5" t="s">
        <v>49</v>
      </c>
      <c r="U28" s="5" t="s">
        <v>49</v>
      </c>
      <c r="V28" s="5" t="s">
        <v>49</v>
      </c>
      <c r="W28" s="5" t="s">
        <v>49</v>
      </c>
      <c r="X28" s="5" t="s">
        <v>49</v>
      </c>
      <c r="Y28" s="6" t="s">
        <v>49</v>
      </c>
      <c r="Z28" s="5" t="s">
        <v>49</v>
      </c>
      <c r="AA28" s="5" t="s">
        <v>49</v>
      </c>
      <c r="AB28" s="5" t="s">
        <v>49</v>
      </c>
      <c r="AC28" s="5" t="s">
        <v>49</v>
      </c>
      <c r="AD28" s="5" t="s">
        <v>49</v>
      </c>
      <c r="AE28" s="5" t="s">
        <v>49</v>
      </c>
      <c r="AF28" s="5">
        <v>836345.76802507835</v>
      </c>
      <c r="AG28" s="5">
        <v>864275.63959955506</v>
      </c>
      <c r="AH28" s="5">
        <v>928335.48387096776</v>
      </c>
      <c r="AI28" s="5">
        <v>985709.56618464959</v>
      </c>
      <c r="AJ28" s="5">
        <v>994938.82091212459</v>
      </c>
      <c r="AK28" s="6">
        <v>1088794.7214076247</v>
      </c>
      <c r="AL28" s="4">
        <v>1101273.354231975</v>
      </c>
      <c r="AM28" s="5">
        <v>974420.68965517241</v>
      </c>
      <c r="AN28" s="5">
        <v>1135624.1379310344</v>
      </c>
      <c r="AO28" s="5">
        <v>1122000</v>
      </c>
      <c r="AP28" s="5">
        <v>1270200</v>
      </c>
      <c r="AQ28" s="5">
        <v>1272300</v>
      </c>
      <c r="AR28" s="5">
        <v>1187700</v>
      </c>
      <c r="AS28" s="5">
        <v>1058400</v>
      </c>
      <c r="AT28" s="5">
        <v>1069500</v>
      </c>
      <c r="AU28" s="5">
        <v>1119000</v>
      </c>
      <c r="AV28" s="5">
        <v>885000</v>
      </c>
      <c r="AW28" s="6">
        <v>948900</v>
      </c>
      <c r="AX28" s="53"/>
      <c r="AY28" s="223"/>
    </row>
    <row r="29" spans="2:51" x14ac:dyDescent="0.25">
      <c r="B29" s="223"/>
      <c r="D29" s="66">
        <v>43088</v>
      </c>
      <c r="E29" s="66">
        <v>43739</v>
      </c>
      <c r="F29" s="469">
        <v>5414207710</v>
      </c>
      <c r="G29" s="19">
        <v>1052.6590000000001</v>
      </c>
      <c r="H29" s="6">
        <v>432.93596000000014</v>
      </c>
      <c r="I29" s="67" t="s">
        <v>17</v>
      </c>
      <c r="J29" s="19">
        <v>116951.5294117647</v>
      </c>
      <c r="K29" s="19">
        <v>3873923.1372549022</v>
      </c>
      <c r="L29" s="19">
        <v>1946133.3333333335</v>
      </c>
      <c r="M29" s="404">
        <v>5937008</v>
      </c>
      <c r="N29" s="4" t="s">
        <v>49</v>
      </c>
      <c r="O29" s="5" t="s">
        <v>49</v>
      </c>
      <c r="P29" s="5" t="s">
        <v>49</v>
      </c>
      <c r="Q29" s="5" t="s">
        <v>49</v>
      </c>
      <c r="R29" s="5" t="s">
        <v>49</v>
      </c>
      <c r="S29" s="5" t="s">
        <v>49</v>
      </c>
      <c r="T29" s="5" t="s">
        <v>49</v>
      </c>
      <c r="U29" s="5" t="s">
        <v>49</v>
      </c>
      <c r="V29" s="5" t="s">
        <v>49</v>
      </c>
      <c r="W29" s="5" t="s">
        <v>49</v>
      </c>
      <c r="X29" s="5" t="s">
        <v>49</v>
      </c>
      <c r="Y29" s="6">
        <v>116951.5294117647</v>
      </c>
      <c r="Z29" s="5">
        <v>322429.80392156867</v>
      </c>
      <c r="AA29" s="5">
        <v>377850.11494252877</v>
      </c>
      <c r="AB29" s="5">
        <v>428303.44827586203</v>
      </c>
      <c r="AC29" s="5">
        <v>421875.68409343716</v>
      </c>
      <c r="AD29" s="5">
        <v>441569.03225806454</v>
      </c>
      <c r="AE29" s="5">
        <v>429448.38709677418</v>
      </c>
      <c r="AF29" s="5">
        <v>428900</v>
      </c>
      <c r="AG29" s="5">
        <v>114960</v>
      </c>
      <c r="AH29" s="5">
        <v>800</v>
      </c>
      <c r="AI29" s="5">
        <v>133013.33333333334</v>
      </c>
      <c r="AJ29" s="5">
        <v>399040</v>
      </c>
      <c r="AK29" s="6">
        <v>375733.33333333337</v>
      </c>
      <c r="AL29" s="4">
        <v>280277.33333333337</v>
      </c>
      <c r="AM29" s="5">
        <v>184456</v>
      </c>
      <c r="AN29" s="5">
        <v>179960</v>
      </c>
      <c r="AO29" s="5">
        <v>52480</v>
      </c>
      <c r="AP29" s="5">
        <v>1440</v>
      </c>
      <c r="AQ29" s="5">
        <v>2720</v>
      </c>
      <c r="AR29" s="5">
        <v>254400</v>
      </c>
      <c r="AS29" s="5">
        <v>218080</v>
      </c>
      <c r="AT29" s="5">
        <v>181280</v>
      </c>
      <c r="AU29" s="5">
        <v>196160</v>
      </c>
      <c r="AV29" s="5">
        <v>199200</v>
      </c>
      <c r="AW29" s="6">
        <v>195680</v>
      </c>
      <c r="AX29" s="53"/>
      <c r="AY29" s="223"/>
    </row>
    <row r="30" spans="2:51" x14ac:dyDescent="0.25">
      <c r="B30" s="223"/>
      <c r="D30" s="66">
        <v>43115</v>
      </c>
      <c r="E30" s="66">
        <v>43800</v>
      </c>
      <c r="F30" s="469">
        <v>6875167751</v>
      </c>
      <c r="G30" s="19">
        <v>755.4</v>
      </c>
      <c r="H30" s="6">
        <v>417.24545454545455</v>
      </c>
      <c r="I30" s="67" t="s">
        <v>17</v>
      </c>
      <c r="J30" s="19">
        <v>0</v>
      </c>
      <c r="K30" s="19">
        <v>3170409.0909090908</v>
      </c>
      <c r="L30" s="19">
        <v>2980445.4545454546</v>
      </c>
      <c r="M30" s="404">
        <v>6150854.5454545449</v>
      </c>
      <c r="N30" s="4" t="s">
        <v>49</v>
      </c>
      <c r="O30" s="5" t="s">
        <v>49</v>
      </c>
      <c r="P30" s="5" t="s">
        <v>49</v>
      </c>
      <c r="Q30" s="5" t="s">
        <v>49</v>
      </c>
      <c r="R30" s="5" t="s">
        <v>49</v>
      </c>
      <c r="S30" s="5" t="s">
        <v>49</v>
      </c>
      <c r="T30" s="5" t="s">
        <v>49</v>
      </c>
      <c r="U30" s="5" t="s">
        <v>49</v>
      </c>
      <c r="V30" s="5" t="s">
        <v>49</v>
      </c>
      <c r="W30" s="5" t="s">
        <v>49</v>
      </c>
      <c r="X30" s="5" t="s">
        <v>49</v>
      </c>
      <c r="Y30" s="6" t="s">
        <v>49</v>
      </c>
      <c r="Z30" s="5">
        <v>173302.82131661443</v>
      </c>
      <c r="AA30" s="5">
        <v>375591.72413793101</v>
      </c>
      <c r="AB30" s="5">
        <v>511228.96551724139</v>
      </c>
      <c r="AC30" s="5">
        <v>506731.03448275861</v>
      </c>
      <c r="AD30" s="5">
        <v>511567.74193548388</v>
      </c>
      <c r="AE30" s="5">
        <v>484741.63306451612</v>
      </c>
      <c r="AF30" s="5">
        <v>419109.9798387097</v>
      </c>
      <c r="AG30" s="5">
        <v>167246.16240266961</v>
      </c>
      <c r="AH30" s="5">
        <v>134.48275862068965</v>
      </c>
      <c r="AI30" s="5">
        <v>0</v>
      </c>
      <c r="AJ30" s="5">
        <v>170</v>
      </c>
      <c r="AK30" s="6">
        <v>20584.545454545452</v>
      </c>
      <c r="AL30" s="4">
        <v>114700.62695924765</v>
      </c>
      <c r="AM30" s="5">
        <v>148086.20689655171</v>
      </c>
      <c r="AN30" s="5">
        <v>138858.62068965516</v>
      </c>
      <c r="AO30" s="5">
        <v>36600</v>
      </c>
      <c r="AP30" s="5">
        <v>218100</v>
      </c>
      <c r="AQ30" s="5">
        <v>288900</v>
      </c>
      <c r="AR30" s="5">
        <v>258300</v>
      </c>
      <c r="AS30" s="5">
        <v>390600</v>
      </c>
      <c r="AT30" s="5">
        <v>365400</v>
      </c>
      <c r="AU30" s="5">
        <v>369600</v>
      </c>
      <c r="AV30" s="5">
        <v>332700</v>
      </c>
      <c r="AW30" s="6">
        <v>318600</v>
      </c>
      <c r="AX30" s="53"/>
      <c r="AY30" s="223"/>
    </row>
    <row r="31" spans="2:51" x14ac:dyDescent="0.25">
      <c r="B31" s="223"/>
      <c r="D31" s="66">
        <v>43035</v>
      </c>
      <c r="E31" s="66">
        <v>43800</v>
      </c>
      <c r="F31" s="469">
        <v>5142999910</v>
      </c>
      <c r="G31" s="19">
        <v>1806.6</v>
      </c>
      <c r="H31" s="6">
        <v>1361.818857142857</v>
      </c>
      <c r="I31" s="67" t="s">
        <v>17</v>
      </c>
      <c r="J31" s="19">
        <v>1027063.8655462186</v>
      </c>
      <c r="K31" s="19">
        <v>13674019.35483871</v>
      </c>
      <c r="L31" s="19">
        <v>2240254.3293718165</v>
      </c>
      <c r="M31" s="404">
        <v>16941337.549756747</v>
      </c>
      <c r="N31" s="4" t="s">
        <v>49</v>
      </c>
      <c r="O31" s="5" t="s">
        <v>49</v>
      </c>
      <c r="P31" s="5" t="s">
        <v>49</v>
      </c>
      <c r="Q31" s="5" t="s">
        <v>49</v>
      </c>
      <c r="R31" s="5" t="s">
        <v>49</v>
      </c>
      <c r="S31" s="5" t="s">
        <v>49</v>
      </c>
      <c r="T31" s="5" t="s">
        <v>49</v>
      </c>
      <c r="U31" s="5" t="s">
        <v>49</v>
      </c>
      <c r="V31" s="5" t="s">
        <v>49</v>
      </c>
      <c r="W31" s="5" t="s">
        <v>49</v>
      </c>
      <c r="X31" s="5">
        <v>47828.571428571428</v>
      </c>
      <c r="Y31" s="6">
        <v>979235.29411764711</v>
      </c>
      <c r="Z31" s="5">
        <v>1054800</v>
      </c>
      <c r="AA31" s="5">
        <v>1020600</v>
      </c>
      <c r="AB31" s="5">
        <v>1140144.8275862068</v>
      </c>
      <c r="AC31" s="5">
        <v>1116413.7931034483</v>
      </c>
      <c r="AD31" s="5">
        <v>1243786.8338557994</v>
      </c>
      <c r="AE31" s="5">
        <v>1221695.9247648902</v>
      </c>
      <c r="AF31" s="5">
        <v>1254898.6206896552</v>
      </c>
      <c r="AG31" s="5">
        <v>1253550.9090909092</v>
      </c>
      <c r="AH31" s="5">
        <v>1192743.5736677113</v>
      </c>
      <c r="AI31" s="5">
        <v>1113165.5172413792</v>
      </c>
      <c r="AJ31" s="5">
        <v>892363.63636363635</v>
      </c>
      <c r="AK31" s="6">
        <v>1169855.7184750731</v>
      </c>
      <c r="AL31" s="4">
        <v>115780.64516129032</v>
      </c>
      <c r="AM31" s="5" t="s">
        <v>49</v>
      </c>
      <c r="AN31" s="5" t="s">
        <v>49</v>
      </c>
      <c r="AO31" s="5" t="s">
        <v>49</v>
      </c>
      <c r="AP31" s="5" t="s">
        <v>49</v>
      </c>
      <c r="AQ31" s="5" t="s">
        <v>49</v>
      </c>
      <c r="AR31" s="5" t="s">
        <v>49</v>
      </c>
      <c r="AS31" s="5">
        <v>247673.68421052632</v>
      </c>
      <c r="AT31" s="5">
        <v>426000</v>
      </c>
      <c r="AU31" s="5">
        <v>499800</v>
      </c>
      <c r="AV31" s="5">
        <v>483000</v>
      </c>
      <c r="AW31" s="6">
        <v>468000</v>
      </c>
      <c r="AX31" s="53"/>
      <c r="AY31" s="223"/>
    </row>
    <row r="32" spans="2:51" x14ac:dyDescent="0.25">
      <c r="B32" s="223"/>
      <c r="D32" s="66">
        <v>42705</v>
      </c>
      <c r="E32" s="66">
        <v>43800</v>
      </c>
      <c r="F32" s="469">
        <v>3990089383</v>
      </c>
      <c r="G32" s="19">
        <v>1904.4</v>
      </c>
      <c r="H32" s="6">
        <v>1598.1352941176472</v>
      </c>
      <c r="I32" s="67" t="s">
        <v>17</v>
      </c>
      <c r="J32" s="19">
        <v>14059264.478016913</v>
      </c>
      <c r="K32" s="19">
        <v>12763069.070208726</v>
      </c>
      <c r="L32" s="19">
        <v>9146137.1428571418</v>
      </c>
      <c r="M32" s="404">
        <v>35968470.691082783</v>
      </c>
      <c r="N32" s="4">
        <v>1207717.2413793104</v>
      </c>
      <c r="O32" s="5">
        <v>1058925</v>
      </c>
      <c r="P32" s="5">
        <v>1213851.4285714284</v>
      </c>
      <c r="Q32" s="5">
        <v>1177071.4285714284</v>
      </c>
      <c r="R32" s="5">
        <v>1239225</v>
      </c>
      <c r="S32" s="5">
        <v>1209724.1379310347</v>
      </c>
      <c r="T32" s="5">
        <v>1151275.8620689656</v>
      </c>
      <c r="U32" s="5">
        <v>1101345.4545454546</v>
      </c>
      <c r="V32" s="5">
        <v>1116000</v>
      </c>
      <c r="W32" s="5">
        <v>1234420</v>
      </c>
      <c r="X32" s="5">
        <v>1296620.6896551724</v>
      </c>
      <c r="Y32" s="6">
        <v>1053088.2352941176</v>
      </c>
      <c r="Z32" s="5">
        <v>1089952.9411764706</v>
      </c>
      <c r="AA32" s="5">
        <v>1016925</v>
      </c>
      <c r="AB32" s="5">
        <v>1160288.7931034481</v>
      </c>
      <c r="AC32" s="5">
        <v>1069282.7586206896</v>
      </c>
      <c r="AD32" s="5">
        <v>1190776.1755485893</v>
      </c>
      <c r="AE32" s="5">
        <v>1168527.2727272727</v>
      </c>
      <c r="AF32" s="5">
        <v>736300</v>
      </c>
      <c r="AG32" s="5">
        <v>953790.90909090906</v>
      </c>
      <c r="AH32" s="5">
        <v>1164543.5736677113</v>
      </c>
      <c r="AI32" s="5">
        <v>1173165.5172413792</v>
      </c>
      <c r="AJ32" s="5">
        <v>1030363.6363636364</v>
      </c>
      <c r="AK32" s="6">
        <v>1009152.4926686217</v>
      </c>
      <c r="AL32" s="4">
        <v>1151480</v>
      </c>
      <c r="AM32" s="5" t="s">
        <v>49</v>
      </c>
      <c r="AN32" s="5" t="s">
        <v>49</v>
      </c>
      <c r="AO32" s="5">
        <v>294857.1428571429</v>
      </c>
      <c r="AP32" s="5">
        <v>1038600</v>
      </c>
      <c r="AQ32" s="5">
        <v>1065000</v>
      </c>
      <c r="AR32" s="5">
        <v>1073400</v>
      </c>
      <c r="AS32" s="5">
        <v>1008600</v>
      </c>
      <c r="AT32" s="5">
        <v>904200</v>
      </c>
      <c r="AU32" s="5">
        <v>868800</v>
      </c>
      <c r="AV32" s="5">
        <v>872400</v>
      </c>
      <c r="AW32" s="6">
        <v>868800</v>
      </c>
      <c r="AX32" s="53"/>
      <c r="AY32" s="223"/>
    </row>
    <row r="33" spans="2:51" x14ac:dyDescent="0.25">
      <c r="B33" s="223"/>
      <c r="D33" s="66">
        <v>42717</v>
      </c>
      <c r="E33" s="66">
        <v>43800</v>
      </c>
      <c r="F33" s="469">
        <v>1114177282</v>
      </c>
      <c r="G33" s="19">
        <v>1144</v>
      </c>
      <c r="H33" s="6">
        <v>414.89049999999997</v>
      </c>
      <c r="I33" s="67" t="s">
        <v>17</v>
      </c>
      <c r="J33" s="19">
        <v>31578.823529411766</v>
      </c>
      <c r="K33" s="19">
        <v>2179704.8128342247</v>
      </c>
      <c r="L33" s="19">
        <v>7863636.3636363633</v>
      </c>
      <c r="M33" s="404">
        <v>10074920</v>
      </c>
      <c r="N33" s="4">
        <v>3802.7586206896553</v>
      </c>
      <c r="O33" s="5">
        <v>3017.2413793103451</v>
      </c>
      <c r="P33" s="5">
        <v>3037.9310344827586</v>
      </c>
      <c r="Q33" s="5">
        <v>1848.2758620689656</v>
      </c>
      <c r="R33" s="5">
        <v>1463.7931034482758</v>
      </c>
      <c r="S33" s="5">
        <v>1563.3333333333335</v>
      </c>
      <c r="T33" s="5">
        <v>1690.1149425287356</v>
      </c>
      <c r="U33" s="5">
        <v>1871.5517241379309</v>
      </c>
      <c r="V33" s="5">
        <v>1728.4482758620688</v>
      </c>
      <c r="W33" s="5">
        <v>2924.1379310344828</v>
      </c>
      <c r="X33" s="5">
        <v>4019.4726166328605</v>
      </c>
      <c r="Y33" s="6">
        <v>4611.7647058823532</v>
      </c>
      <c r="Z33" s="5">
        <v>4720.4868154158212</v>
      </c>
      <c r="AA33" s="5">
        <v>3740.6896551724139</v>
      </c>
      <c r="AB33" s="5">
        <v>14811.03448275862</v>
      </c>
      <c r="AC33" s="5">
        <v>47127.030033370407</v>
      </c>
      <c r="AD33" s="5">
        <v>78206.451612903227</v>
      </c>
      <c r="AE33" s="5">
        <v>194835.48387096776</v>
      </c>
      <c r="AF33" s="5">
        <v>298175.86206896551</v>
      </c>
      <c r="AG33" s="5">
        <v>306833.81535038934</v>
      </c>
      <c r="AH33" s="5">
        <v>293445.16129032261</v>
      </c>
      <c r="AI33" s="5">
        <v>294965.16129032261</v>
      </c>
      <c r="AJ33" s="5">
        <v>281253.33333333331</v>
      </c>
      <c r="AK33" s="6">
        <v>361590.30303030304</v>
      </c>
      <c r="AL33" s="4">
        <v>489181.19122257055</v>
      </c>
      <c r="AM33" s="5">
        <v>553048.27586206899</v>
      </c>
      <c r="AN33" s="5">
        <v>699806.89655172417</v>
      </c>
      <c r="AO33" s="5">
        <v>749600</v>
      </c>
      <c r="AP33" s="5">
        <v>774800</v>
      </c>
      <c r="AQ33" s="5">
        <v>688000</v>
      </c>
      <c r="AR33" s="5">
        <v>732400</v>
      </c>
      <c r="AS33" s="5">
        <v>625600</v>
      </c>
      <c r="AT33" s="5">
        <v>629600</v>
      </c>
      <c r="AU33" s="5">
        <v>656400</v>
      </c>
      <c r="AV33" s="5">
        <v>636400</v>
      </c>
      <c r="AW33" s="6">
        <v>628800</v>
      </c>
      <c r="AX33" s="53"/>
      <c r="AY33" s="223"/>
    </row>
    <row r="34" spans="2:51" x14ac:dyDescent="0.25">
      <c r="B34" s="223"/>
      <c r="D34" s="66">
        <v>42719</v>
      </c>
      <c r="E34" s="66">
        <v>43800</v>
      </c>
      <c r="F34" s="469">
        <v>2329696211</v>
      </c>
      <c r="G34" s="19">
        <v>3888</v>
      </c>
      <c r="H34" s="6">
        <v>3430.7055555555553</v>
      </c>
      <c r="I34" s="67" t="s">
        <v>17</v>
      </c>
      <c r="J34" s="19">
        <v>27798250</v>
      </c>
      <c r="K34" s="19">
        <v>30519322.580645166</v>
      </c>
      <c r="L34" s="19">
        <v>26958077.419354841</v>
      </c>
      <c r="M34" s="404">
        <v>85275650</v>
      </c>
      <c r="N34" s="4">
        <v>2598146.5517241377</v>
      </c>
      <c r="O34" s="5">
        <v>2059603.448275862</v>
      </c>
      <c r="P34" s="5">
        <v>1911706.8965517241</v>
      </c>
      <c r="Q34" s="5">
        <v>1802664.0711902115</v>
      </c>
      <c r="R34" s="5">
        <v>1990362.365591398</v>
      </c>
      <c r="S34" s="5">
        <v>2032933.3333333333</v>
      </c>
      <c r="T34" s="5">
        <v>2244833.333333333</v>
      </c>
      <c r="U34" s="5">
        <v>2331600</v>
      </c>
      <c r="V34" s="5">
        <v>2522537.931034483</v>
      </c>
      <c r="W34" s="5">
        <v>2791362.068965517</v>
      </c>
      <c r="X34" s="5">
        <v>2703241.935483871</v>
      </c>
      <c r="Y34" s="6">
        <v>2809258.064516129</v>
      </c>
      <c r="Z34" s="5">
        <v>2815310.3448275863</v>
      </c>
      <c r="AA34" s="5">
        <v>2509877.1551724141</v>
      </c>
      <c r="AB34" s="5">
        <v>2725019.3965517245</v>
      </c>
      <c r="AC34" s="5">
        <v>2616965.5172413792</v>
      </c>
      <c r="AD34" s="5">
        <v>2724282.1316614421</v>
      </c>
      <c r="AE34" s="5">
        <v>2578712.1212121211</v>
      </c>
      <c r="AF34" s="5">
        <v>2515488.5057471264</v>
      </c>
      <c r="AG34" s="5">
        <v>2455981.1912225708</v>
      </c>
      <c r="AH34" s="5">
        <v>2457673.9811912226</v>
      </c>
      <c r="AI34" s="5">
        <v>2491689.6551724137</v>
      </c>
      <c r="AJ34" s="5">
        <v>2264218.75</v>
      </c>
      <c r="AK34" s="6">
        <v>2364103.8306451612</v>
      </c>
      <c r="AL34" s="4">
        <v>2316364.9193548383</v>
      </c>
      <c r="AM34" s="5">
        <v>2062098.2142857143</v>
      </c>
      <c r="AN34" s="5">
        <v>2408414.2857142859</v>
      </c>
      <c r="AO34" s="5">
        <v>2385600</v>
      </c>
      <c r="AP34" s="5">
        <v>2441600</v>
      </c>
      <c r="AQ34" s="5">
        <v>2312800</v>
      </c>
      <c r="AR34" s="5">
        <v>2368800</v>
      </c>
      <c r="AS34" s="5">
        <v>2251200</v>
      </c>
      <c r="AT34" s="5">
        <v>2133600</v>
      </c>
      <c r="AU34" s="5">
        <v>2128000</v>
      </c>
      <c r="AV34" s="5">
        <v>2043999.9999999998</v>
      </c>
      <c r="AW34" s="6">
        <v>2105600</v>
      </c>
      <c r="AX34" s="53"/>
      <c r="AY34" s="223"/>
    </row>
    <row r="35" spans="2:51" x14ac:dyDescent="0.25">
      <c r="B35" s="223"/>
      <c r="D35" s="66">
        <v>42719</v>
      </c>
      <c r="E35" s="66">
        <v>43800</v>
      </c>
      <c r="F35" s="469">
        <v>7315489380</v>
      </c>
      <c r="G35" s="19">
        <v>750.88</v>
      </c>
      <c r="H35" s="6">
        <v>683.31111111111102</v>
      </c>
      <c r="I35" s="67" t="s">
        <v>17</v>
      </c>
      <c r="J35" s="19">
        <v>5812509.1176470583</v>
      </c>
      <c r="K35" s="19">
        <v>5829732.9791271342</v>
      </c>
      <c r="L35" s="19">
        <v>5488892.9032258065</v>
      </c>
      <c r="M35" s="404">
        <v>17131135</v>
      </c>
      <c r="N35" s="4">
        <v>459626.03448275861</v>
      </c>
      <c r="O35" s="5">
        <v>418948.96551724139</v>
      </c>
      <c r="P35" s="5">
        <v>469332.41379310342</v>
      </c>
      <c r="Q35" s="5">
        <v>464079.1991101224</v>
      </c>
      <c r="R35" s="5">
        <v>496855.05376344087</v>
      </c>
      <c r="S35" s="5">
        <v>509605.33333333337</v>
      </c>
      <c r="T35" s="5">
        <v>536946.06451612897</v>
      </c>
      <c r="U35" s="5">
        <v>521789.93548387097</v>
      </c>
      <c r="V35" s="5">
        <v>491855.44827586203</v>
      </c>
      <c r="W35" s="5">
        <v>492216.55172413791</v>
      </c>
      <c r="X35" s="5">
        <v>467903.22580645164</v>
      </c>
      <c r="Y35" s="6">
        <v>483350.89184060716</v>
      </c>
      <c r="Z35" s="5">
        <v>480805.1926977688</v>
      </c>
      <c r="AA35" s="5">
        <v>428800.68965517241</v>
      </c>
      <c r="AB35" s="5">
        <v>475254.4827586207</v>
      </c>
      <c r="AC35" s="5">
        <v>475001.37931034481</v>
      </c>
      <c r="AD35" s="5">
        <v>514618.68338557996</v>
      </c>
      <c r="AE35" s="5">
        <v>511148.12121212127</v>
      </c>
      <c r="AF35" s="5">
        <v>525692.50574712642</v>
      </c>
      <c r="AG35" s="5">
        <v>517826.039707419</v>
      </c>
      <c r="AH35" s="5">
        <v>493776.71891327063</v>
      </c>
      <c r="AI35" s="5">
        <v>489862.06896551722</v>
      </c>
      <c r="AJ35" s="5">
        <v>456020</v>
      </c>
      <c r="AK35" s="6">
        <v>460927.09677419357</v>
      </c>
      <c r="AL35" s="4">
        <v>453522.90322580643</v>
      </c>
      <c r="AM35" s="5">
        <v>402752.85714285716</v>
      </c>
      <c r="AN35" s="5">
        <v>447817.14285714284</v>
      </c>
      <c r="AO35" s="5">
        <v>456320</v>
      </c>
      <c r="AP35" s="5">
        <v>488800</v>
      </c>
      <c r="AQ35" s="5">
        <v>464480</v>
      </c>
      <c r="AR35" s="5">
        <v>486080</v>
      </c>
      <c r="AS35" s="5">
        <v>483680</v>
      </c>
      <c r="AT35" s="5">
        <v>459520</v>
      </c>
      <c r="AU35" s="5">
        <v>458560</v>
      </c>
      <c r="AV35" s="5">
        <v>438080</v>
      </c>
      <c r="AW35" s="6">
        <v>449280</v>
      </c>
      <c r="AX35" s="53"/>
      <c r="AY35" s="223"/>
    </row>
    <row r="36" spans="2:51" x14ac:dyDescent="0.25">
      <c r="B36" s="223"/>
      <c r="D36" s="66">
        <v>42811</v>
      </c>
      <c r="E36" s="66">
        <v>43800</v>
      </c>
      <c r="F36" s="469">
        <v>870953315</v>
      </c>
      <c r="G36" s="19">
        <v>1360.8</v>
      </c>
      <c r="H36" s="6">
        <v>1040.9322941176472</v>
      </c>
      <c r="I36" s="67" t="s">
        <v>17</v>
      </c>
      <c r="J36" s="19">
        <v>3800978.2608695654</v>
      </c>
      <c r="K36" s="19">
        <v>10187045.454545455</v>
      </c>
      <c r="L36" s="19">
        <v>10331834.545454545</v>
      </c>
      <c r="M36" s="404">
        <v>24319858.260869563</v>
      </c>
      <c r="N36" s="4" t="s">
        <v>49</v>
      </c>
      <c r="O36" s="5" t="s">
        <v>49</v>
      </c>
      <c r="P36" s="5">
        <v>18478.260869565216</v>
      </c>
      <c r="Q36" s="5">
        <v>66206.896551724145</v>
      </c>
      <c r="R36" s="5">
        <v>148193.10344827586</v>
      </c>
      <c r="S36" s="5">
        <v>230600</v>
      </c>
      <c r="T36" s="5">
        <v>312482.75862068962</v>
      </c>
      <c r="U36" s="5">
        <v>358083.908045977</v>
      </c>
      <c r="V36" s="5">
        <v>462433.33333333337</v>
      </c>
      <c r="W36" s="5">
        <v>620344.82758620684</v>
      </c>
      <c r="X36" s="5">
        <v>723913.23692992213</v>
      </c>
      <c r="Y36" s="6">
        <v>860241.93548387103</v>
      </c>
      <c r="Z36" s="5">
        <v>900637.93103448278</v>
      </c>
      <c r="AA36" s="5">
        <v>780968.31896551722</v>
      </c>
      <c r="AB36" s="5">
        <v>848852.37068965519</v>
      </c>
      <c r="AC36" s="5">
        <v>838189.65517241368</v>
      </c>
      <c r="AD36" s="5">
        <v>873297.17868338549</v>
      </c>
      <c r="AE36" s="5">
        <v>844734.54545454541</v>
      </c>
      <c r="AF36" s="5">
        <v>872354.48275862075</v>
      </c>
      <c r="AG36" s="5">
        <v>902947.33542319748</v>
      </c>
      <c r="AH36" s="5">
        <v>853956.11285266443</v>
      </c>
      <c r="AI36" s="5">
        <v>846005.81896551722</v>
      </c>
      <c r="AJ36" s="5">
        <v>808736.25</v>
      </c>
      <c r="AK36" s="6">
        <v>816365.45454545459</v>
      </c>
      <c r="AL36" s="4">
        <v>808054.54545454541</v>
      </c>
      <c r="AM36" s="5">
        <v>751775</v>
      </c>
      <c r="AN36" s="5">
        <v>845625</v>
      </c>
      <c r="AO36" s="5">
        <v>819000</v>
      </c>
      <c r="AP36" s="5">
        <v>898800</v>
      </c>
      <c r="AQ36" s="5">
        <v>894600</v>
      </c>
      <c r="AR36" s="5">
        <v>936600</v>
      </c>
      <c r="AS36" s="5">
        <v>876680</v>
      </c>
      <c r="AT36" s="5">
        <v>848400</v>
      </c>
      <c r="AU36" s="5">
        <v>730800</v>
      </c>
      <c r="AV36" s="5">
        <v>934500</v>
      </c>
      <c r="AW36" s="6">
        <v>987000</v>
      </c>
      <c r="AX36" s="53"/>
      <c r="AY36" s="223"/>
    </row>
    <row r="37" spans="2:51" x14ac:dyDescent="0.25">
      <c r="B37" s="223"/>
      <c r="D37" s="66">
        <v>42720</v>
      </c>
      <c r="E37" s="66">
        <v>43800</v>
      </c>
      <c r="F37" s="469">
        <v>3186200000</v>
      </c>
      <c r="G37" s="19">
        <v>786</v>
      </c>
      <c r="H37" s="6">
        <v>646.94999999999993</v>
      </c>
      <c r="I37" s="67" t="s">
        <v>17</v>
      </c>
      <c r="J37" s="19">
        <v>4744700</v>
      </c>
      <c r="K37" s="19">
        <v>5752181.8181818184</v>
      </c>
      <c r="L37" s="19">
        <v>5134764.8484848486</v>
      </c>
      <c r="M37" s="404">
        <v>15631646.666666668</v>
      </c>
      <c r="N37" s="4">
        <v>425500</v>
      </c>
      <c r="O37" s="5">
        <v>400648.27586206899</v>
      </c>
      <c r="P37" s="5">
        <v>440854.94994438265</v>
      </c>
      <c r="Q37" s="5">
        <v>375676.08453837596</v>
      </c>
      <c r="R37" s="5">
        <v>288594.02298850572</v>
      </c>
      <c r="S37" s="5">
        <v>242926.66666666666</v>
      </c>
      <c r="T37" s="5">
        <v>290872.41379310342</v>
      </c>
      <c r="U37" s="5">
        <v>379960.91954022984</v>
      </c>
      <c r="V37" s="5">
        <v>415666.66666666663</v>
      </c>
      <c r="W37" s="5">
        <v>445806.89655172417</v>
      </c>
      <c r="X37" s="5">
        <v>493096.32925472746</v>
      </c>
      <c r="Y37" s="6">
        <v>545096.77419354836</v>
      </c>
      <c r="Z37" s="5">
        <v>537600</v>
      </c>
      <c r="AA37" s="5">
        <v>475262.5</v>
      </c>
      <c r="AB37" s="5">
        <v>529316.81034482759</v>
      </c>
      <c r="AC37" s="5">
        <v>522455.1724137931</v>
      </c>
      <c r="AD37" s="5">
        <v>516583.69905956113</v>
      </c>
      <c r="AE37" s="5">
        <v>475381.81818181818</v>
      </c>
      <c r="AF37" s="5">
        <v>474137.93103448278</v>
      </c>
      <c r="AG37" s="5">
        <v>467407.52351097181</v>
      </c>
      <c r="AH37" s="5">
        <v>445689.02821316617</v>
      </c>
      <c r="AI37" s="5">
        <v>452090.5172413793</v>
      </c>
      <c r="AJ37" s="5">
        <v>427195</v>
      </c>
      <c r="AK37" s="6">
        <v>429061.81818181818</v>
      </c>
      <c r="AL37" s="4">
        <v>422278.18181818182</v>
      </c>
      <c r="AM37" s="5">
        <v>389275.71428571432</v>
      </c>
      <c r="AN37" s="5">
        <v>434664.28571428574</v>
      </c>
      <c r="AO37" s="5">
        <v>430000</v>
      </c>
      <c r="AP37" s="5">
        <v>463800</v>
      </c>
      <c r="AQ37" s="5">
        <v>457600</v>
      </c>
      <c r="AR37" s="5">
        <v>499600</v>
      </c>
      <c r="AS37" s="5">
        <v>475200</v>
      </c>
      <c r="AT37" s="5">
        <v>349400</v>
      </c>
      <c r="AU37" s="5">
        <v>376546.66666666663</v>
      </c>
      <c r="AV37" s="5">
        <v>364400</v>
      </c>
      <c r="AW37" s="6">
        <v>472000</v>
      </c>
      <c r="AX37" s="53"/>
      <c r="AY37" s="223"/>
    </row>
    <row r="38" spans="2:51" x14ac:dyDescent="0.25">
      <c r="B38" s="223"/>
      <c r="D38" s="66">
        <v>43200</v>
      </c>
      <c r="E38" s="66">
        <v>43800</v>
      </c>
      <c r="F38" s="469">
        <v>3394380733</v>
      </c>
      <c r="G38" s="19">
        <v>305.44</v>
      </c>
      <c r="H38" s="6">
        <v>245.86666666666662</v>
      </c>
      <c r="I38" s="67" t="s">
        <v>17</v>
      </c>
      <c r="J38" s="19">
        <v>0</v>
      </c>
      <c r="K38" s="19">
        <v>1187592.2580645161</v>
      </c>
      <c r="L38" s="19">
        <v>2318167.7419354841</v>
      </c>
      <c r="M38" s="404">
        <v>3505760</v>
      </c>
      <c r="N38" s="4" t="s">
        <v>49</v>
      </c>
      <c r="O38" s="5" t="s">
        <v>49</v>
      </c>
      <c r="P38" s="5" t="s">
        <v>49</v>
      </c>
      <c r="Q38" s="5" t="s">
        <v>49</v>
      </c>
      <c r="R38" s="5" t="s">
        <v>49</v>
      </c>
      <c r="S38" s="5" t="s">
        <v>49</v>
      </c>
      <c r="T38" s="5" t="s">
        <v>49</v>
      </c>
      <c r="U38" s="5" t="s">
        <v>49</v>
      </c>
      <c r="V38" s="5" t="s">
        <v>49</v>
      </c>
      <c r="W38" s="5" t="s">
        <v>49</v>
      </c>
      <c r="X38" s="5" t="s">
        <v>49</v>
      </c>
      <c r="Y38" s="6" t="s">
        <v>49</v>
      </c>
      <c r="Z38" s="5" t="s">
        <v>49</v>
      </c>
      <c r="AA38" s="5" t="s">
        <v>49</v>
      </c>
      <c r="AB38" s="5" t="s">
        <v>49</v>
      </c>
      <c r="AC38" s="5">
        <v>78273.103448275855</v>
      </c>
      <c r="AD38" s="5">
        <v>108044.47230929989</v>
      </c>
      <c r="AE38" s="5">
        <v>114269.09090909091</v>
      </c>
      <c r="AF38" s="5">
        <v>112869.88505747126</v>
      </c>
      <c r="AG38" s="5">
        <v>136487.69070010449</v>
      </c>
      <c r="AH38" s="5">
        <v>154651.61964472311</v>
      </c>
      <c r="AI38" s="5">
        <v>168408.27586206899</v>
      </c>
      <c r="AJ38" s="5">
        <v>157405.5590386625</v>
      </c>
      <c r="AK38" s="6">
        <v>157182.56109481916</v>
      </c>
      <c r="AL38" s="4">
        <v>152268.38709677418</v>
      </c>
      <c r="AM38" s="5">
        <v>162031.76863181312</v>
      </c>
      <c r="AN38" s="5">
        <v>198587.58620689655</v>
      </c>
      <c r="AO38" s="5">
        <v>194240</v>
      </c>
      <c r="AP38" s="5">
        <v>213440</v>
      </c>
      <c r="AQ38" s="5">
        <v>196800</v>
      </c>
      <c r="AR38" s="5">
        <v>207040</v>
      </c>
      <c r="AS38" s="5">
        <v>197440</v>
      </c>
      <c r="AT38" s="5">
        <v>198080</v>
      </c>
      <c r="AU38" s="5">
        <v>198880</v>
      </c>
      <c r="AV38" s="5">
        <v>192320</v>
      </c>
      <c r="AW38" s="6">
        <v>207040</v>
      </c>
      <c r="AX38" s="53"/>
      <c r="AY38" s="223"/>
    </row>
    <row r="39" spans="2:51" x14ac:dyDescent="0.25">
      <c r="B39" s="223"/>
      <c r="D39" s="66">
        <v>42725</v>
      </c>
      <c r="E39" s="66">
        <v>43800</v>
      </c>
      <c r="F39" s="469">
        <v>7221004197</v>
      </c>
      <c r="G39" s="19">
        <v>692.16</v>
      </c>
      <c r="H39" s="6">
        <v>284.82108333333338</v>
      </c>
      <c r="I39" s="67" t="s">
        <v>17</v>
      </c>
      <c r="J39" s="19">
        <v>94221.411764705888</v>
      </c>
      <c r="K39" s="19">
        <v>446327.36242884252</v>
      </c>
      <c r="L39" s="19">
        <v>4507851.2677644938</v>
      </c>
      <c r="M39" s="404">
        <v>5048400.0419580424</v>
      </c>
      <c r="N39" s="4">
        <v>2087</v>
      </c>
      <c r="O39" s="5">
        <v>6171.2068965517246</v>
      </c>
      <c r="P39" s="5">
        <v>11395.862068965518</v>
      </c>
      <c r="Q39" s="5">
        <v>10371.724137931034</v>
      </c>
      <c r="R39" s="5">
        <v>8803.7068965517246</v>
      </c>
      <c r="S39" s="5">
        <v>6550.5</v>
      </c>
      <c r="T39" s="5">
        <v>7685.7931034482754</v>
      </c>
      <c r="U39" s="5">
        <v>10434.956896551725</v>
      </c>
      <c r="V39" s="5">
        <v>9476.7672413793116</v>
      </c>
      <c r="W39" s="5">
        <v>11390.48275862069</v>
      </c>
      <c r="X39" s="5">
        <v>7187.636363636364</v>
      </c>
      <c r="Y39" s="6">
        <v>2665.7754010695189</v>
      </c>
      <c r="Z39" s="5">
        <v>3010.588235294118</v>
      </c>
      <c r="AA39" s="5">
        <v>2157.9310344827586</v>
      </c>
      <c r="AB39" s="5">
        <v>3418.1979977753062</v>
      </c>
      <c r="AC39" s="5">
        <v>4882.4916573971077</v>
      </c>
      <c r="AD39" s="5">
        <v>869.7664071190211</v>
      </c>
      <c r="AE39" s="5">
        <v>2587.8629032258063</v>
      </c>
      <c r="AF39" s="5">
        <v>5356.1637931034484</v>
      </c>
      <c r="AG39" s="5">
        <v>3680.3134796238246</v>
      </c>
      <c r="AH39" s="5">
        <v>6302.4451410658303</v>
      </c>
      <c r="AI39" s="5">
        <v>8517.7308120133494</v>
      </c>
      <c r="AJ39" s="5">
        <v>90363.870967741939</v>
      </c>
      <c r="AK39" s="6">
        <v>315180</v>
      </c>
      <c r="AL39" s="4">
        <v>335648.22580645164</v>
      </c>
      <c r="AM39" s="5">
        <v>363512.14285714284</v>
      </c>
      <c r="AN39" s="5">
        <v>453402.85714285716</v>
      </c>
      <c r="AO39" s="5">
        <v>449160</v>
      </c>
      <c r="AP39" s="5">
        <v>760.90909090909099</v>
      </c>
      <c r="AQ39" s="5">
        <v>736.36363636363637</v>
      </c>
      <c r="AR39" s="5">
        <v>711330.76923076925</v>
      </c>
      <c r="AS39" s="5">
        <v>426480</v>
      </c>
      <c r="AT39" s="5">
        <v>408420</v>
      </c>
      <c r="AU39" s="5">
        <v>450060</v>
      </c>
      <c r="AV39" s="5">
        <v>452340</v>
      </c>
      <c r="AW39" s="6">
        <v>456000</v>
      </c>
      <c r="AX39" s="53"/>
      <c r="AY39" s="223"/>
    </row>
    <row r="40" spans="2:51" ht="15.75" thickBot="1" x14ac:dyDescent="0.3">
      <c r="B40" s="223"/>
      <c r="D40" s="68">
        <v>42842</v>
      </c>
      <c r="E40" s="68">
        <v>43800</v>
      </c>
      <c r="F40" s="470">
        <v>9912856653</v>
      </c>
      <c r="G40" s="23">
        <v>841.28</v>
      </c>
      <c r="H40" s="406">
        <v>653.22666666666669</v>
      </c>
      <c r="I40" s="69" t="s">
        <v>17</v>
      </c>
      <c r="J40" s="23">
        <v>2337923.8095238097</v>
      </c>
      <c r="K40" s="23">
        <v>6533650.9090909092</v>
      </c>
      <c r="L40" s="23">
        <v>5825469.0909090908</v>
      </c>
      <c r="M40" s="405">
        <v>14697043.80952381</v>
      </c>
      <c r="N40" s="8" t="s">
        <v>49</v>
      </c>
      <c r="O40" s="9" t="s">
        <v>49</v>
      </c>
      <c r="P40" s="9" t="s">
        <v>49</v>
      </c>
      <c r="Q40" s="9">
        <v>25810.706075533661</v>
      </c>
      <c r="R40" s="9">
        <v>59307.770114942527</v>
      </c>
      <c r="S40" s="9">
        <v>60085.333333333336</v>
      </c>
      <c r="T40" s="9">
        <v>65428.965517241377</v>
      </c>
      <c r="U40" s="9">
        <v>109477.70114942528</v>
      </c>
      <c r="V40" s="9">
        <v>324094.71264367813</v>
      </c>
      <c r="W40" s="9">
        <v>543258.62068965519</v>
      </c>
      <c r="X40" s="9">
        <v>563169.67741935491</v>
      </c>
      <c r="Y40" s="10">
        <v>587290.32258064521</v>
      </c>
      <c r="Z40" s="9">
        <v>589884.13793103443</v>
      </c>
      <c r="AA40" s="9">
        <v>527765.86206896557</v>
      </c>
      <c r="AB40" s="9">
        <v>565944.48275862075</v>
      </c>
      <c r="AC40" s="9">
        <v>520739.31034482759</v>
      </c>
      <c r="AD40" s="9">
        <v>543498.93416927895</v>
      </c>
      <c r="AE40" s="9">
        <v>536087.27272727271</v>
      </c>
      <c r="AF40" s="9">
        <v>559360</v>
      </c>
      <c r="AG40" s="9">
        <v>532727.27272727271</v>
      </c>
      <c r="AH40" s="9">
        <v>472431.34796238248</v>
      </c>
      <c r="AI40" s="9">
        <v>545871.37931034481</v>
      </c>
      <c r="AJ40" s="9">
        <v>580810</v>
      </c>
      <c r="AK40" s="10">
        <v>558530.90909090906</v>
      </c>
      <c r="AL40" s="8">
        <v>540471.75757575757</v>
      </c>
      <c r="AM40" s="9">
        <v>467088.76190476189</v>
      </c>
      <c r="AN40" s="9">
        <v>520788.57142857142</v>
      </c>
      <c r="AO40" s="9">
        <v>511359.99999999994</v>
      </c>
      <c r="AP40" s="9">
        <v>536800</v>
      </c>
      <c r="AQ40" s="9">
        <v>508160.00000000006</v>
      </c>
      <c r="AR40" s="9">
        <v>489920</v>
      </c>
      <c r="AS40" s="9">
        <v>463680</v>
      </c>
      <c r="AT40" s="9">
        <v>452960</v>
      </c>
      <c r="AU40" s="9">
        <v>456320</v>
      </c>
      <c r="AV40" s="9">
        <v>433920</v>
      </c>
      <c r="AW40" s="10">
        <v>444000</v>
      </c>
      <c r="AX40" s="53"/>
      <c r="AY40" s="223"/>
    </row>
    <row r="41" spans="2:51" x14ac:dyDescent="0.25">
      <c r="B41" s="223"/>
      <c r="D41" s="66"/>
      <c r="E41" s="66"/>
      <c r="G41" s="173"/>
      <c r="H41" s="173"/>
      <c r="I41" s="13" t="s">
        <v>21</v>
      </c>
      <c r="J41" s="25">
        <f t="shared" ref="J41:AW41" si="0">SUM(J7:J40)</f>
        <v>90484992.28466846</v>
      </c>
      <c r="K41" s="25">
        <f t="shared" si="0"/>
        <v>203105606.47555354</v>
      </c>
      <c r="L41" s="25">
        <f t="shared" si="0"/>
        <v>197386994.82049099</v>
      </c>
      <c r="M41" s="25">
        <f t="shared" si="0"/>
        <v>490977593.58071297</v>
      </c>
      <c r="N41" s="5">
        <f t="shared" si="0"/>
        <v>7013512.272686936</v>
      </c>
      <c r="O41" s="5">
        <f t="shared" si="0"/>
        <v>5866971.3144166926</v>
      </c>
      <c r="P41" s="5">
        <f t="shared" si="0"/>
        <v>6425815.9708657609</v>
      </c>
      <c r="Q41" s="5">
        <f t="shared" si="0"/>
        <v>5998189.8835743424</v>
      </c>
      <c r="R41" s="5">
        <f t="shared" si="0"/>
        <v>6383473.2526070634</v>
      </c>
      <c r="S41" s="5">
        <f t="shared" si="0"/>
        <v>6665824.70191913</v>
      </c>
      <c r="T41" s="5">
        <f t="shared" si="0"/>
        <v>7301193.3591889972</v>
      </c>
      <c r="U41" s="5">
        <f t="shared" si="0"/>
        <v>7559374.7284857947</v>
      </c>
      <c r="V41" s="5">
        <f t="shared" si="0"/>
        <v>8052216.7239692509</v>
      </c>
      <c r="W41" s="5">
        <f t="shared" si="0"/>
        <v>8886380.0105797574</v>
      </c>
      <c r="X41" s="5">
        <f t="shared" si="0"/>
        <v>9129995.7215591893</v>
      </c>
      <c r="Y41" s="5">
        <f t="shared" si="0"/>
        <v>11202044.344815565</v>
      </c>
      <c r="Z41" s="5">
        <f t="shared" si="0"/>
        <v>13991272.451712148</v>
      </c>
      <c r="AA41" s="5">
        <f t="shared" si="0"/>
        <v>14735038.18275862</v>
      </c>
      <c r="AB41" s="5">
        <f t="shared" si="0"/>
        <v>17237619.310150169</v>
      </c>
      <c r="AC41" s="5">
        <f t="shared" si="0"/>
        <v>16960382.860720668</v>
      </c>
      <c r="AD41" s="5">
        <f t="shared" si="0"/>
        <v>18086043.532162204</v>
      </c>
      <c r="AE41" s="5">
        <f t="shared" si="0"/>
        <v>17788111.726349141</v>
      </c>
      <c r="AF41" s="5">
        <f t="shared" si="0"/>
        <v>18551899.051091913</v>
      </c>
      <c r="AG41" s="5">
        <f t="shared" si="0"/>
        <v>17381048.24031993</v>
      </c>
      <c r="AH41" s="5">
        <f t="shared" si="0"/>
        <v>16864869.467445031</v>
      </c>
      <c r="AI41" s="5">
        <f t="shared" si="0"/>
        <v>17098740.456804466</v>
      </c>
      <c r="AJ41" s="5">
        <f t="shared" si="0"/>
        <v>16483949.693092283</v>
      </c>
      <c r="AK41" s="5">
        <f t="shared" si="0"/>
        <v>17926631.502946928</v>
      </c>
      <c r="AL41" s="5">
        <f t="shared" si="0"/>
        <v>14330197.343136262</v>
      </c>
      <c r="AM41" s="5">
        <f t="shared" si="0"/>
        <v>10321304.146022035</v>
      </c>
      <c r="AN41" s="5">
        <f t="shared" si="0"/>
        <v>11239185.888432201</v>
      </c>
      <c r="AO41" s="5">
        <f t="shared" si="0"/>
        <v>13732657.150863597</v>
      </c>
      <c r="AP41" s="5">
        <f t="shared" si="0"/>
        <v>18172809.818202563</v>
      </c>
      <c r="AQ41" s="5">
        <f t="shared" si="0"/>
        <v>18174957.183609493</v>
      </c>
      <c r="AR41" s="5">
        <f t="shared" si="0"/>
        <v>20092396.79565262</v>
      </c>
      <c r="AS41" s="5">
        <f t="shared" si="0"/>
        <v>19391083.247260381</v>
      </c>
      <c r="AT41" s="5">
        <f t="shared" si="0"/>
        <v>17713389.566820279</v>
      </c>
      <c r="AU41" s="5">
        <f t="shared" si="0"/>
        <v>18269907.615975425</v>
      </c>
      <c r="AV41" s="5">
        <f t="shared" si="0"/>
        <v>17842489.225806452</v>
      </c>
      <c r="AW41" s="5">
        <f t="shared" si="0"/>
        <v>18106616.838709679</v>
      </c>
      <c r="AX41" s="53"/>
      <c r="AY41" s="223"/>
    </row>
    <row r="42" spans="2:51" s="325" customFormat="1" x14ac:dyDescent="0.25">
      <c r="B42" s="324"/>
      <c r="D42" s="326"/>
      <c r="E42" s="326"/>
      <c r="G42" s="137"/>
      <c r="H42" s="137"/>
      <c r="I42" s="327"/>
      <c r="J42" s="328"/>
      <c r="K42" s="328"/>
      <c r="L42" s="328"/>
      <c r="M42" s="328"/>
      <c r="N42" s="329"/>
      <c r="O42" s="329"/>
      <c r="P42" s="329"/>
      <c r="Q42" s="329"/>
      <c r="R42" s="329"/>
      <c r="S42" s="329"/>
      <c r="T42" s="329"/>
      <c r="U42" s="329"/>
      <c r="V42" s="329"/>
      <c r="W42" s="329"/>
      <c r="X42" s="329"/>
      <c r="Y42" s="329"/>
      <c r="Z42" s="329"/>
      <c r="AA42" s="329"/>
      <c r="AB42" s="329"/>
      <c r="AC42" s="329"/>
      <c r="AD42" s="329"/>
      <c r="AE42" s="329"/>
      <c r="AF42" s="329"/>
      <c r="AG42" s="329"/>
      <c r="AH42" s="329"/>
      <c r="AI42" s="329"/>
      <c r="AJ42" s="329"/>
      <c r="AK42" s="329"/>
      <c r="AL42" s="329"/>
      <c r="AM42" s="329"/>
      <c r="AN42" s="329"/>
      <c r="AO42" s="329"/>
      <c r="AP42" s="329"/>
      <c r="AQ42" s="329"/>
      <c r="AR42" s="329"/>
      <c r="AS42" s="329"/>
      <c r="AT42" s="329"/>
      <c r="AU42" s="329"/>
      <c r="AV42" s="329"/>
      <c r="AW42" s="329"/>
      <c r="AY42" s="324"/>
    </row>
    <row r="43" spans="2:51" s="325" customFormat="1" x14ac:dyDescent="0.25">
      <c r="B43" s="324"/>
      <c r="C43" s="324"/>
      <c r="D43" s="330"/>
      <c r="E43" s="330"/>
      <c r="F43" s="324"/>
      <c r="G43" s="332"/>
      <c r="H43" s="332"/>
      <c r="I43" s="331"/>
      <c r="J43" s="332"/>
      <c r="K43" s="332"/>
      <c r="L43" s="332"/>
      <c r="M43" s="332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  <c r="AH43" s="333"/>
      <c r="AI43" s="333"/>
      <c r="AJ43" s="333"/>
      <c r="AK43" s="333"/>
      <c r="AL43" s="333"/>
      <c r="AM43" s="333"/>
      <c r="AN43" s="333"/>
      <c r="AO43" s="333"/>
      <c r="AP43" s="333"/>
      <c r="AQ43" s="333"/>
      <c r="AR43" s="333"/>
      <c r="AS43" s="333"/>
      <c r="AT43" s="333"/>
      <c r="AU43" s="333"/>
      <c r="AV43" s="333"/>
      <c r="AW43" s="333"/>
      <c r="AX43" s="324"/>
      <c r="AY43" s="324"/>
    </row>
    <row r="44" spans="2:51" s="325" customFormat="1" x14ac:dyDescent="0.25">
      <c r="D44" s="326"/>
      <c r="E44" s="326"/>
      <c r="G44" s="328"/>
      <c r="H44" s="328"/>
      <c r="I44" s="327"/>
      <c r="J44" s="328"/>
      <c r="K44" s="328"/>
      <c r="L44" s="328"/>
      <c r="M44" s="328"/>
      <c r="N44" s="329"/>
      <c r="O44" s="329"/>
      <c r="P44" s="329"/>
      <c r="Q44" s="329"/>
      <c r="R44" s="329"/>
      <c r="S44" s="329"/>
      <c r="T44" s="329"/>
      <c r="U44" s="329"/>
      <c r="V44" s="329"/>
      <c r="W44" s="329"/>
      <c r="X44" s="329"/>
      <c r="Y44" s="329"/>
      <c r="Z44" s="329"/>
      <c r="AA44" s="329"/>
      <c r="AB44" s="329"/>
      <c r="AC44" s="329"/>
      <c r="AD44" s="329"/>
      <c r="AE44" s="329"/>
      <c r="AF44" s="329"/>
      <c r="AG44" s="329"/>
      <c r="AH44" s="329"/>
      <c r="AI44" s="329"/>
      <c r="AJ44" s="329"/>
      <c r="AK44" s="329"/>
      <c r="AL44" s="329"/>
      <c r="AM44" s="329"/>
      <c r="AN44" s="329"/>
      <c r="AO44" s="329"/>
      <c r="AP44" s="329"/>
      <c r="AQ44" s="329"/>
      <c r="AR44" s="329"/>
      <c r="AS44" s="329"/>
      <c r="AT44" s="329"/>
      <c r="AU44" s="329"/>
      <c r="AV44" s="329"/>
      <c r="AW44" s="329"/>
    </row>
    <row r="45" spans="2:51" s="325" customFormat="1" x14ac:dyDescent="0.25">
      <c r="B45" s="321" t="s">
        <v>73</v>
      </c>
      <c r="C45" s="334"/>
      <c r="D45" s="334"/>
      <c r="E45" s="334"/>
      <c r="F45" s="334"/>
      <c r="G45" s="334"/>
      <c r="H45" s="334"/>
      <c r="I45" s="334"/>
      <c r="J45" s="334"/>
      <c r="K45" s="334"/>
      <c r="L45" s="334"/>
      <c r="M45" s="334"/>
      <c r="N45" s="335"/>
      <c r="O45" s="334"/>
      <c r="P45" s="334"/>
      <c r="Q45" s="334"/>
      <c r="R45" s="334"/>
      <c r="S45" s="334"/>
      <c r="T45" s="334"/>
      <c r="U45" s="334"/>
      <c r="V45" s="334"/>
      <c r="W45" s="334"/>
      <c r="X45" s="334"/>
      <c r="Y45" s="334"/>
      <c r="Z45" s="335"/>
      <c r="AA45" s="334"/>
      <c r="AB45" s="334"/>
      <c r="AC45" s="334"/>
      <c r="AD45" s="334"/>
      <c r="AE45" s="334"/>
      <c r="AF45" s="334"/>
      <c r="AG45" s="334"/>
      <c r="AH45" s="334"/>
      <c r="AI45" s="334"/>
      <c r="AJ45" s="334"/>
      <c r="AK45" s="334"/>
      <c r="AL45" s="334"/>
      <c r="AM45" s="334"/>
      <c r="AN45" s="334"/>
      <c r="AO45" s="334"/>
      <c r="AP45" s="334"/>
      <c r="AQ45" s="334"/>
      <c r="AR45" s="334"/>
      <c r="AS45" s="334"/>
      <c r="AT45" s="334"/>
      <c r="AU45" s="334"/>
      <c r="AV45" s="334"/>
      <c r="AW45" s="334"/>
      <c r="AX45" s="334"/>
      <c r="AY45" s="334"/>
    </row>
    <row r="46" spans="2:51" s="325" customFormat="1" ht="15.75" thickBot="1" x14ac:dyDescent="0.3">
      <c r="B46" s="324"/>
      <c r="G46"/>
      <c r="H46"/>
      <c r="N46" s="336"/>
      <c r="Z46" s="336"/>
      <c r="AY46" s="324"/>
    </row>
    <row r="47" spans="2:51" s="325" customFormat="1" ht="15.75" thickBot="1" x14ac:dyDescent="0.3">
      <c r="B47" s="324"/>
      <c r="G47" s="467"/>
      <c r="H47" s="467"/>
      <c r="J47" s="337" t="s">
        <v>74</v>
      </c>
      <c r="K47" s="338"/>
      <c r="L47" s="338"/>
      <c r="M47" s="340"/>
      <c r="N47" s="407"/>
      <c r="O47" s="338"/>
      <c r="P47" s="338"/>
      <c r="Q47" s="338"/>
      <c r="R47" s="338"/>
      <c r="S47" s="338"/>
      <c r="T47" s="338"/>
      <c r="U47" s="338"/>
      <c r="V47" s="338"/>
      <c r="W47" s="338"/>
      <c r="X47" s="338"/>
      <c r="Y47" s="338"/>
      <c r="Z47" s="339"/>
      <c r="AA47" s="338"/>
      <c r="AB47" s="338"/>
      <c r="AC47" s="338"/>
      <c r="AD47" s="338"/>
      <c r="AE47" s="338"/>
      <c r="AF47" s="338"/>
      <c r="AG47" s="338"/>
      <c r="AH47" s="338"/>
      <c r="AI47" s="338"/>
      <c r="AJ47" s="338"/>
      <c r="AK47" s="338"/>
      <c r="AL47" s="338"/>
      <c r="AM47" s="338"/>
      <c r="AN47" s="338"/>
      <c r="AO47" s="338"/>
      <c r="AP47" s="338"/>
      <c r="AQ47" s="338"/>
      <c r="AR47" s="338"/>
      <c r="AS47" s="338"/>
      <c r="AT47" s="338"/>
      <c r="AU47" s="338"/>
      <c r="AV47" s="338"/>
      <c r="AW47" s="340"/>
      <c r="AY47" s="324"/>
    </row>
    <row r="48" spans="2:51" s="325" customFormat="1" ht="15.75" thickBot="1" x14ac:dyDescent="0.3">
      <c r="B48" s="324"/>
      <c r="G48" s="467"/>
      <c r="H48" s="467"/>
      <c r="J48" s="341" t="s">
        <v>8</v>
      </c>
      <c r="K48" s="342"/>
      <c r="L48" s="342"/>
      <c r="M48" s="343"/>
      <c r="N48" s="344">
        <v>2017</v>
      </c>
      <c r="O48" s="345"/>
      <c r="P48" s="345"/>
      <c r="Q48" s="345"/>
      <c r="R48" s="345"/>
      <c r="S48" s="345"/>
      <c r="T48" s="345"/>
      <c r="U48" s="345"/>
      <c r="V48" s="345"/>
      <c r="W48" s="345"/>
      <c r="X48" s="346"/>
      <c r="Y48" s="347"/>
      <c r="Z48" s="348">
        <v>2018</v>
      </c>
      <c r="AA48" s="349"/>
      <c r="AB48" s="349"/>
      <c r="AC48" s="349"/>
      <c r="AD48" s="349"/>
      <c r="AE48" s="349"/>
      <c r="AF48" s="349"/>
      <c r="AG48" s="349"/>
      <c r="AH48" s="349"/>
      <c r="AI48" s="349"/>
      <c r="AJ48" s="350"/>
      <c r="AK48" s="351"/>
      <c r="AL48" s="352">
        <v>2019</v>
      </c>
      <c r="AM48" s="352"/>
      <c r="AN48" s="352"/>
      <c r="AO48" s="352"/>
      <c r="AP48" s="352"/>
      <c r="AQ48" s="352"/>
      <c r="AR48" s="352"/>
      <c r="AS48" s="352"/>
      <c r="AT48" s="352"/>
      <c r="AU48" s="352"/>
      <c r="AV48" s="352"/>
      <c r="AW48" s="353"/>
      <c r="AY48" s="324"/>
    </row>
    <row r="49" spans="2:51" s="325" customFormat="1" ht="15.75" thickBot="1" x14ac:dyDescent="0.3">
      <c r="B49" s="324"/>
      <c r="D49" s="326"/>
      <c r="G49" s="467"/>
      <c r="H49" s="322" t="s">
        <v>99</v>
      </c>
      <c r="I49" s="323">
        <f>SUM(N50:AW55)</f>
        <v>490977593.58071303</v>
      </c>
      <c r="J49" s="355">
        <v>2017</v>
      </c>
      <c r="K49" s="356">
        <v>2018</v>
      </c>
      <c r="L49" s="357">
        <v>2019</v>
      </c>
      <c r="M49" s="358" t="s">
        <v>46</v>
      </c>
      <c r="N49" s="360">
        <v>42736</v>
      </c>
      <c r="O49" s="359">
        <v>42767</v>
      </c>
      <c r="P49" s="360">
        <v>42795</v>
      </c>
      <c r="Q49" s="359">
        <v>42826</v>
      </c>
      <c r="R49" s="360">
        <v>42856</v>
      </c>
      <c r="S49" s="359">
        <v>42887</v>
      </c>
      <c r="T49" s="360">
        <v>42917</v>
      </c>
      <c r="U49" s="359">
        <v>42948</v>
      </c>
      <c r="V49" s="360">
        <v>42979</v>
      </c>
      <c r="W49" s="359">
        <v>43009</v>
      </c>
      <c r="X49" s="360">
        <v>43040</v>
      </c>
      <c r="Y49" s="359">
        <v>43070</v>
      </c>
      <c r="Z49" s="361">
        <v>43101</v>
      </c>
      <c r="AA49" s="362">
        <v>43132</v>
      </c>
      <c r="AB49" s="362">
        <v>43160</v>
      </c>
      <c r="AC49" s="362">
        <v>43191</v>
      </c>
      <c r="AD49" s="362">
        <v>43221</v>
      </c>
      <c r="AE49" s="362">
        <v>43252</v>
      </c>
      <c r="AF49" s="362">
        <v>43282</v>
      </c>
      <c r="AG49" s="362">
        <v>43313</v>
      </c>
      <c r="AH49" s="362">
        <v>43344</v>
      </c>
      <c r="AI49" s="362">
        <v>43374</v>
      </c>
      <c r="AJ49" s="363">
        <v>43405</v>
      </c>
      <c r="AK49" s="364">
        <v>43435</v>
      </c>
      <c r="AL49" s="365">
        <v>43466</v>
      </c>
      <c r="AM49" s="366">
        <v>43497</v>
      </c>
      <c r="AN49" s="366">
        <v>43525</v>
      </c>
      <c r="AO49" s="366">
        <v>43556</v>
      </c>
      <c r="AP49" s="366">
        <v>43586</v>
      </c>
      <c r="AQ49" s="366">
        <v>43617</v>
      </c>
      <c r="AR49" s="366">
        <v>43647</v>
      </c>
      <c r="AS49" s="366">
        <v>43678</v>
      </c>
      <c r="AT49" s="366">
        <v>43709</v>
      </c>
      <c r="AU49" s="366">
        <v>43739</v>
      </c>
      <c r="AV49" s="366">
        <v>43770</v>
      </c>
      <c r="AW49" s="367">
        <v>43800</v>
      </c>
      <c r="AY49" s="324"/>
    </row>
    <row r="50" spans="2:51" s="325" customFormat="1" x14ac:dyDescent="0.25">
      <c r="B50" s="324"/>
      <c r="D50" s="326"/>
      <c r="E50" s="326"/>
      <c r="G50" s="467"/>
      <c r="H50" s="467"/>
      <c r="I50" s="377" t="s">
        <v>15</v>
      </c>
      <c r="J50" s="377">
        <f t="shared" ref="J50:J55" si="1">SUM(N50:Y50)</f>
        <v>300591.67682744685</v>
      </c>
      <c r="K50" s="377">
        <f t="shared" ref="K50:K55" si="2">SUM(Z50:AK50)</f>
        <v>539185.22181731928</v>
      </c>
      <c r="L50" s="377">
        <f t="shared" ref="L50:L55" si="3">SUM(AL50:AW50)</f>
        <v>177696.32965326894</v>
      </c>
      <c r="M50" s="377">
        <f t="shared" ref="M50:M55" si="4">SUM(J50:L50)</f>
        <v>1017473.228298035</v>
      </c>
      <c r="N50" s="378">
        <f t="shared" ref="N50:AC52" si="5">SUMIF($I$7:$I$40,$I50,N$7:N$40)</f>
        <v>22321.521380772079</v>
      </c>
      <c r="O50" s="379">
        <f t="shared" si="5"/>
        <v>23820.314939157986</v>
      </c>
      <c r="P50" s="379">
        <f t="shared" si="5"/>
        <v>26558.498520241345</v>
      </c>
      <c r="Q50" s="379">
        <f t="shared" si="5"/>
        <v>22676.939933259175</v>
      </c>
      <c r="R50" s="379">
        <f t="shared" si="5"/>
        <v>23552.947341954023</v>
      </c>
      <c r="S50" s="379">
        <f t="shared" si="5"/>
        <v>23074.849404761902</v>
      </c>
      <c r="T50" s="379">
        <f t="shared" si="5"/>
        <v>23413.167969586633</v>
      </c>
      <c r="U50" s="379">
        <f t="shared" si="5"/>
        <v>24678.269189269002</v>
      </c>
      <c r="V50" s="379">
        <f t="shared" si="5"/>
        <v>23534.527323274451</v>
      </c>
      <c r="W50" s="379">
        <f t="shared" si="5"/>
        <v>24749.02105374671</v>
      </c>
      <c r="X50" s="379">
        <f t="shared" si="5"/>
        <v>28312.734521869217</v>
      </c>
      <c r="Y50" s="380">
        <f t="shared" si="5"/>
        <v>33898.885249554369</v>
      </c>
      <c r="Z50" s="378">
        <f t="shared" si="5"/>
        <v>33236.775608519267</v>
      </c>
      <c r="AA50" s="379">
        <f t="shared" si="5"/>
        <v>30738.816379310345</v>
      </c>
      <c r="AB50" s="379">
        <f t="shared" si="5"/>
        <v>36532.454477196879</v>
      </c>
      <c r="AC50" s="379">
        <f t="shared" si="5"/>
        <v>37228.94178717093</v>
      </c>
      <c r="AD50" s="379">
        <f t="shared" ref="AD50:AN52" si="6">SUMIF($I$7:$I$40,$I50,AD$7:AD$40)</f>
        <v>41085.080111108298</v>
      </c>
      <c r="AE50" s="379">
        <f t="shared" si="6"/>
        <v>44848.410190615832</v>
      </c>
      <c r="AF50" s="379">
        <f t="shared" si="6"/>
        <v>54546.138545142749</v>
      </c>
      <c r="AG50" s="379">
        <f t="shared" si="6"/>
        <v>53166.904068493604</v>
      </c>
      <c r="AH50" s="379">
        <f t="shared" si="6"/>
        <v>48573.739921905071</v>
      </c>
      <c r="AI50" s="379">
        <f t="shared" si="6"/>
        <v>48324.952019056262</v>
      </c>
      <c r="AJ50" s="379">
        <f t="shared" si="6"/>
        <v>52250.717149947748</v>
      </c>
      <c r="AK50" s="381">
        <f t="shared" si="6"/>
        <v>58652.291558852288</v>
      </c>
      <c r="AL50" s="379">
        <f t="shared" si="6"/>
        <v>62194.605515337898</v>
      </c>
      <c r="AM50" s="379">
        <f t="shared" si="6"/>
        <v>57401.905132687112</v>
      </c>
      <c r="AN50" s="379">
        <f t="shared" si="6"/>
        <v>58099.819005243924</v>
      </c>
      <c r="AO50" s="379"/>
      <c r="AP50" s="379"/>
      <c r="AQ50" s="379"/>
      <c r="AR50" s="379"/>
      <c r="AS50" s="379"/>
      <c r="AT50" s="379"/>
      <c r="AU50" s="379"/>
      <c r="AV50" s="379"/>
      <c r="AW50" s="380"/>
      <c r="AY50" s="324"/>
    </row>
    <row r="51" spans="2:51" s="325" customFormat="1" x14ac:dyDescent="0.25">
      <c r="B51" s="324"/>
      <c r="D51" s="326"/>
      <c r="E51" s="329"/>
      <c r="G51" s="467"/>
      <c r="H51" s="467"/>
      <c r="I51" s="383" t="s">
        <v>16</v>
      </c>
      <c r="J51" s="383">
        <f t="shared" si="1"/>
        <v>852966.40614162805</v>
      </c>
      <c r="K51" s="383">
        <f t="shared" si="2"/>
        <v>3856273.2679964323</v>
      </c>
      <c r="L51" s="383">
        <f t="shared" si="3"/>
        <v>1073567.3245356795</v>
      </c>
      <c r="M51" s="383">
        <f t="shared" si="4"/>
        <v>5782806.9986737389</v>
      </c>
      <c r="N51" s="384">
        <f t="shared" si="5"/>
        <v>127624.09613375131</v>
      </c>
      <c r="O51" s="385">
        <f t="shared" si="5"/>
        <v>96968.229362591432</v>
      </c>
      <c r="P51" s="385">
        <f t="shared" si="5"/>
        <v>82023.484848484833</v>
      </c>
      <c r="Q51" s="385">
        <f t="shared" si="5"/>
        <v>62284.563959955507</v>
      </c>
      <c r="R51" s="385">
        <f t="shared" si="5"/>
        <v>58926.537189469782</v>
      </c>
      <c r="S51" s="385">
        <f t="shared" si="5"/>
        <v>53050.964583333342</v>
      </c>
      <c r="T51" s="385">
        <f t="shared" si="5"/>
        <v>52606.369194938816</v>
      </c>
      <c r="U51" s="385">
        <f t="shared" si="5"/>
        <v>51200.032888394519</v>
      </c>
      <c r="V51" s="385">
        <f t="shared" si="5"/>
        <v>50361.961806565698</v>
      </c>
      <c r="W51" s="385">
        <f t="shared" si="5"/>
        <v>53507.471526767629</v>
      </c>
      <c r="X51" s="385">
        <f t="shared" si="5"/>
        <v>58012.13278707378</v>
      </c>
      <c r="Y51" s="386">
        <f t="shared" si="5"/>
        <v>106400.5618603013</v>
      </c>
      <c r="Z51" s="384">
        <f t="shared" si="5"/>
        <v>191874.31523326153</v>
      </c>
      <c r="AA51" s="385">
        <f t="shared" si="5"/>
        <v>190620.67385057471</v>
      </c>
      <c r="AB51" s="385">
        <f t="shared" si="5"/>
        <v>209127.58008898777</v>
      </c>
      <c r="AC51" s="385">
        <f t="shared" si="5"/>
        <v>267087.57855529711</v>
      </c>
      <c r="AD51" s="385">
        <f t="shared" si="6"/>
        <v>387799.18552600534</v>
      </c>
      <c r="AE51" s="385">
        <f t="shared" si="6"/>
        <v>369652.39261131897</v>
      </c>
      <c r="AF51" s="385">
        <f t="shared" si="6"/>
        <v>377703.6675565443</v>
      </c>
      <c r="AG51" s="385">
        <f t="shared" si="6"/>
        <v>381670.45480066835</v>
      </c>
      <c r="AH51" s="385">
        <f t="shared" si="6"/>
        <v>370700.34275216813</v>
      </c>
      <c r="AI51" s="385">
        <f t="shared" si="6"/>
        <v>376758.66802233958</v>
      </c>
      <c r="AJ51" s="385">
        <f t="shared" si="6"/>
        <v>360201.72815860214</v>
      </c>
      <c r="AK51" s="386">
        <f t="shared" si="6"/>
        <v>373076.68084066472</v>
      </c>
      <c r="AL51" s="385">
        <f t="shared" si="6"/>
        <v>377296.82453567936</v>
      </c>
      <c r="AM51" s="385">
        <f t="shared" si="6"/>
        <v>337964.60714285716</v>
      </c>
      <c r="AN51" s="385">
        <f t="shared" si="6"/>
        <v>358305.89285714284</v>
      </c>
      <c r="AO51" s="385"/>
      <c r="AP51" s="385"/>
      <c r="AQ51" s="385"/>
      <c r="AR51" s="385"/>
      <c r="AS51" s="385"/>
      <c r="AT51" s="385"/>
      <c r="AU51" s="385"/>
      <c r="AV51" s="385"/>
      <c r="AW51" s="386"/>
      <c r="AY51" s="324"/>
    </row>
    <row r="52" spans="2:51" s="325" customFormat="1" ht="15.75" thickBot="1" x14ac:dyDescent="0.3">
      <c r="B52" s="324"/>
      <c r="D52" s="326"/>
      <c r="E52" s="326"/>
      <c r="G52" s="467"/>
      <c r="H52" s="467"/>
      <c r="I52" s="387" t="s">
        <v>17</v>
      </c>
      <c r="J52" s="387">
        <f t="shared" si="1"/>
        <v>89331434.201699406</v>
      </c>
      <c r="K52" s="387">
        <f t="shared" si="2"/>
        <v>198710147.98573974</v>
      </c>
      <c r="L52" s="387">
        <f t="shared" si="3"/>
        <v>34639423.723401546</v>
      </c>
      <c r="M52" s="387">
        <f t="shared" si="4"/>
        <v>322681005.91084069</v>
      </c>
      <c r="N52" s="388">
        <f t="shared" si="5"/>
        <v>6863566.6551724132</v>
      </c>
      <c r="O52" s="389">
        <f t="shared" si="5"/>
        <v>5746182.7701149425</v>
      </c>
      <c r="P52" s="389">
        <f t="shared" si="5"/>
        <v>6317233.9874970345</v>
      </c>
      <c r="Q52" s="389">
        <f t="shared" si="5"/>
        <v>5913228.3796811271</v>
      </c>
      <c r="R52" s="389">
        <f t="shared" si="5"/>
        <v>6300993.7680756385</v>
      </c>
      <c r="S52" s="389">
        <f t="shared" si="5"/>
        <v>6589698.8879310349</v>
      </c>
      <c r="T52" s="389">
        <f t="shared" si="5"/>
        <v>7225173.8220244721</v>
      </c>
      <c r="U52" s="389">
        <f t="shared" si="5"/>
        <v>7483496.4264081307</v>
      </c>
      <c r="V52" s="389">
        <f t="shared" si="5"/>
        <v>7978320.2348394105</v>
      </c>
      <c r="W52" s="389">
        <f t="shared" si="5"/>
        <v>8808123.517999243</v>
      </c>
      <c r="X52" s="389">
        <f t="shared" si="5"/>
        <v>9043670.8542502467</v>
      </c>
      <c r="Y52" s="390">
        <f t="shared" si="5"/>
        <v>11061744.89770571</v>
      </c>
      <c r="Z52" s="388">
        <f t="shared" si="5"/>
        <v>13766161.360870367</v>
      </c>
      <c r="AA52" s="389">
        <f t="shared" si="5"/>
        <v>14513678.692528734</v>
      </c>
      <c r="AB52" s="389">
        <f t="shared" si="5"/>
        <v>16991959.275583982</v>
      </c>
      <c r="AC52" s="389">
        <f t="shared" si="5"/>
        <v>16656066.340378199</v>
      </c>
      <c r="AD52" s="389">
        <f t="shared" si="6"/>
        <v>17657159.26652509</v>
      </c>
      <c r="AE52" s="389">
        <f t="shared" si="6"/>
        <v>17373610.923547208</v>
      </c>
      <c r="AF52" s="389">
        <f t="shared" si="6"/>
        <v>18119649.244990226</v>
      </c>
      <c r="AG52" s="389">
        <f t="shared" si="6"/>
        <v>16946210.881450769</v>
      </c>
      <c r="AH52" s="389">
        <f t="shared" si="6"/>
        <v>16445595.384770956</v>
      </c>
      <c r="AI52" s="389">
        <f t="shared" si="6"/>
        <v>16673656.836763071</v>
      </c>
      <c r="AJ52" s="389">
        <f t="shared" si="6"/>
        <v>16071497.247783735</v>
      </c>
      <c r="AK52" s="390">
        <f t="shared" si="6"/>
        <v>17494902.53054741</v>
      </c>
      <c r="AL52" s="389">
        <f t="shared" si="6"/>
        <v>13890705.913085245</v>
      </c>
      <c r="AM52" s="389">
        <f t="shared" si="6"/>
        <v>9925937.6337464917</v>
      </c>
      <c r="AN52" s="389">
        <f t="shared" si="6"/>
        <v>10822780.176569814</v>
      </c>
      <c r="AO52" s="389"/>
      <c r="AP52" s="389"/>
      <c r="AQ52" s="389"/>
      <c r="AR52" s="389"/>
      <c r="AS52" s="389"/>
      <c r="AT52" s="389"/>
      <c r="AU52" s="389"/>
      <c r="AV52" s="389"/>
      <c r="AW52" s="390"/>
      <c r="AY52" s="324"/>
    </row>
    <row r="53" spans="2:51" s="325" customFormat="1" x14ac:dyDescent="0.25">
      <c r="B53" s="324"/>
      <c r="D53" s="326"/>
      <c r="E53" s="326"/>
      <c r="G53" s="467"/>
      <c r="H53" s="467"/>
      <c r="I53" s="377" t="s">
        <v>18</v>
      </c>
      <c r="J53" s="377">
        <f t="shared" si="1"/>
        <v>0</v>
      </c>
      <c r="K53" s="377">
        <f t="shared" si="2"/>
        <v>0</v>
      </c>
      <c r="L53" s="377">
        <f t="shared" si="3"/>
        <v>446208</v>
      </c>
      <c r="M53" s="377">
        <f t="shared" si="4"/>
        <v>446208</v>
      </c>
      <c r="N53" s="378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80"/>
      <c r="Z53" s="378"/>
      <c r="AA53" s="379"/>
      <c r="AB53" s="379"/>
      <c r="AC53" s="379"/>
      <c r="AD53" s="379"/>
      <c r="AE53" s="379"/>
      <c r="AF53" s="379"/>
      <c r="AG53" s="379"/>
      <c r="AH53" s="379"/>
      <c r="AI53" s="379"/>
      <c r="AJ53" s="379"/>
      <c r="AK53" s="391"/>
      <c r="AL53" s="379"/>
      <c r="AM53" s="379"/>
      <c r="AN53" s="379"/>
      <c r="AO53" s="379">
        <f t="shared" ref="AO53:AW55" si="7">SUMIF($I$7:$I$40,$I50,AO$7:AO$40)</f>
        <v>57851</v>
      </c>
      <c r="AP53" s="379">
        <f t="shared" si="7"/>
        <v>49517</v>
      </c>
      <c r="AQ53" s="379">
        <f t="shared" si="7"/>
        <v>44395</v>
      </c>
      <c r="AR53" s="379">
        <f t="shared" si="7"/>
        <v>43996</v>
      </c>
      <c r="AS53" s="379">
        <f t="shared" si="7"/>
        <v>50342</v>
      </c>
      <c r="AT53" s="379">
        <f t="shared" si="7"/>
        <v>46340</v>
      </c>
      <c r="AU53" s="379">
        <f t="shared" si="7"/>
        <v>47345</v>
      </c>
      <c r="AV53" s="379">
        <f t="shared" si="7"/>
        <v>52003</v>
      </c>
      <c r="AW53" s="380">
        <f t="shared" si="7"/>
        <v>54419</v>
      </c>
      <c r="AY53" s="324"/>
    </row>
    <row r="54" spans="2:51" s="325" customFormat="1" x14ac:dyDescent="0.25">
      <c r="B54" s="324"/>
      <c r="D54" s="326"/>
      <c r="E54" s="326"/>
      <c r="G54" s="467"/>
      <c r="H54" s="467"/>
      <c r="I54" s="383" t="s">
        <v>19</v>
      </c>
      <c r="J54" s="383">
        <f t="shared" si="1"/>
        <v>0</v>
      </c>
      <c r="K54" s="383">
        <f t="shared" si="2"/>
        <v>0</v>
      </c>
      <c r="L54" s="383">
        <f t="shared" si="3"/>
        <v>2767370.1083743842</v>
      </c>
      <c r="M54" s="383">
        <f t="shared" si="4"/>
        <v>2767370.1083743842</v>
      </c>
      <c r="N54" s="384"/>
      <c r="O54" s="385"/>
      <c r="P54" s="385"/>
      <c r="Q54" s="385"/>
      <c r="R54" s="385"/>
      <c r="S54" s="385"/>
      <c r="T54" s="385"/>
      <c r="U54" s="385"/>
      <c r="V54" s="385"/>
      <c r="W54" s="385"/>
      <c r="X54" s="385"/>
      <c r="Y54" s="386"/>
      <c r="Z54" s="384"/>
      <c r="AA54" s="385"/>
      <c r="AB54" s="385"/>
      <c r="AC54" s="385"/>
      <c r="AD54" s="385"/>
      <c r="AE54" s="385"/>
      <c r="AF54" s="385"/>
      <c r="AG54" s="385"/>
      <c r="AH54" s="385"/>
      <c r="AI54" s="385"/>
      <c r="AJ54" s="385"/>
      <c r="AK54" s="386"/>
      <c r="AL54" s="385"/>
      <c r="AM54" s="385"/>
      <c r="AN54" s="385"/>
      <c r="AO54" s="385">
        <f t="shared" si="7"/>
        <v>263887.572223105</v>
      </c>
      <c r="AP54" s="385">
        <f t="shared" si="7"/>
        <v>208071.5361512792</v>
      </c>
      <c r="AQ54" s="385">
        <f t="shared" si="7"/>
        <v>270392</v>
      </c>
      <c r="AR54" s="385">
        <f t="shared" si="7"/>
        <v>356813</v>
      </c>
      <c r="AS54" s="385">
        <f t="shared" si="7"/>
        <v>337359</v>
      </c>
      <c r="AT54" s="385">
        <f t="shared" si="7"/>
        <v>317488</v>
      </c>
      <c r="AU54" s="385">
        <f t="shared" si="7"/>
        <v>338733</v>
      </c>
      <c r="AV54" s="385">
        <f t="shared" si="7"/>
        <v>333723</v>
      </c>
      <c r="AW54" s="386">
        <f t="shared" si="7"/>
        <v>340903</v>
      </c>
      <c r="AY54" s="324"/>
    </row>
    <row r="55" spans="2:51" s="325" customFormat="1" ht="15.75" thickBot="1" x14ac:dyDescent="0.3">
      <c r="B55" s="324"/>
      <c r="D55" s="326"/>
      <c r="E55" s="326"/>
      <c r="G55" s="467"/>
      <c r="H55" s="467"/>
      <c r="I55" s="387" t="s">
        <v>20</v>
      </c>
      <c r="J55" s="387">
        <f t="shared" si="1"/>
        <v>0</v>
      </c>
      <c r="K55" s="387">
        <f t="shared" si="2"/>
        <v>0</v>
      </c>
      <c r="L55" s="387">
        <f t="shared" si="3"/>
        <v>158282729.33452612</v>
      </c>
      <c r="M55" s="387">
        <f t="shared" si="4"/>
        <v>158282729.33452612</v>
      </c>
      <c r="N55" s="388"/>
      <c r="O55" s="389"/>
      <c r="P55" s="389"/>
      <c r="Q55" s="389"/>
      <c r="R55" s="389"/>
      <c r="S55" s="389"/>
      <c r="T55" s="389"/>
      <c r="U55" s="389"/>
      <c r="V55" s="389"/>
      <c r="W55" s="389"/>
      <c r="X55" s="389"/>
      <c r="Y55" s="390"/>
      <c r="Z55" s="388"/>
      <c r="AA55" s="389"/>
      <c r="AB55" s="389"/>
      <c r="AC55" s="389"/>
      <c r="AD55" s="389"/>
      <c r="AE55" s="389"/>
      <c r="AF55" s="389"/>
      <c r="AG55" s="389"/>
      <c r="AH55" s="389"/>
      <c r="AI55" s="389"/>
      <c r="AJ55" s="389"/>
      <c r="AK55" s="390"/>
      <c r="AL55" s="389"/>
      <c r="AM55" s="389"/>
      <c r="AN55" s="389"/>
      <c r="AO55" s="389">
        <f t="shared" si="7"/>
        <v>13410918.578640491</v>
      </c>
      <c r="AP55" s="389">
        <f t="shared" si="7"/>
        <v>17915221.282051284</v>
      </c>
      <c r="AQ55" s="389">
        <f t="shared" si="7"/>
        <v>17860170.183609493</v>
      </c>
      <c r="AR55" s="389">
        <f t="shared" si="7"/>
        <v>19691587.79565262</v>
      </c>
      <c r="AS55" s="389">
        <f t="shared" si="7"/>
        <v>19003382.247260377</v>
      </c>
      <c r="AT55" s="389">
        <f t="shared" si="7"/>
        <v>17349561.566820279</v>
      </c>
      <c r="AU55" s="389">
        <f t="shared" si="7"/>
        <v>17883829.615975425</v>
      </c>
      <c r="AV55" s="389">
        <f t="shared" si="7"/>
        <v>17456763.225806452</v>
      </c>
      <c r="AW55" s="390">
        <f t="shared" si="7"/>
        <v>17711294.838709675</v>
      </c>
      <c r="AY55" s="324"/>
    </row>
    <row r="56" spans="2:51" s="325" customFormat="1" x14ac:dyDescent="0.25">
      <c r="B56" s="324"/>
      <c r="G56" s="467"/>
      <c r="H56" s="467"/>
      <c r="I56" s="322" t="s">
        <v>21</v>
      </c>
      <c r="J56" s="396">
        <f t="shared" ref="J56:AW56" si="8">SUM(J50:J55)</f>
        <v>90484992.284668475</v>
      </c>
      <c r="K56" s="397">
        <f t="shared" si="8"/>
        <v>203105606.47555348</v>
      </c>
      <c r="L56" s="398">
        <f t="shared" si="8"/>
        <v>197386994.82049102</v>
      </c>
      <c r="M56" s="398">
        <f t="shared" si="8"/>
        <v>490977593.58071291</v>
      </c>
      <c r="N56" s="396">
        <f t="shared" si="8"/>
        <v>7013512.2726869369</v>
      </c>
      <c r="O56" s="396">
        <f t="shared" si="8"/>
        <v>5866971.3144166917</v>
      </c>
      <c r="P56" s="396">
        <f t="shared" si="8"/>
        <v>6425815.9708657609</v>
      </c>
      <c r="Q56" s="396">
        <f t="shared" si="8"/>
        <v>5998189.8835743414</v>
      </c>
      <c r="R56" s="396">
        <f t="shared" si="8"/>
        <v>6383473.2526070625</v>
      </c>
      <c r="S56" s="396">
        <f t="shared" si="8"/>
        <v>6665824.70191913</v>
      </c>
      <c r="T56" s="396">
        <f t="shared" si="8"/>
        <v>7301193.3591889972</v>
      </c>
      <c r="U56" s="396">
        <f t="shared" si="8"/>
        <v>7559374.7284857938</v>
      </c>
      <c r="V56" s="396">
        <f t="shared" si="8"/>
        <v>8052216.7239692509</v>
      </c>
      <c r="W56" s="396">
        <f t="shared" si="8"/>
        <v>8886380.0105797574</v>
      </c>
      <c r="X56" s="396">
        <f t="shared" si="8"/>
        <v>9129995.7215591893</v>
      </c>
      <c r="Y56" s="396">
        <f t="shared" si="8"/>
        <v>11202044.344815565</v>
      </c>
      <c r="Z56" s="397">
        <f t="shared" si="8"/>
        <v>13991272.451712148</v>
      </c>
      <c r="AA56" s="397">
        <f t="shared" si="8"/>
        <v>14735038.182758618</v>
      </c>
      <c r="AB56" s="397">
        <f t="shared" si="8"/>
        <v>17237619.310150169</v>
      </c>
      <c r="AC56" s="397">
        <f t="shared" si="8"/>
        <v>16960382.860720668</v>
      </c>
      <c r="AD56" s="397">
        <f t="shared" si="8"/>
        <v>18086043.532162204</v>
      </c>
      <c r="AE56" s="397">
        <f t="shared" si="8"/>
        <v>17788111.726349141</v>
      </c>
      <c r="AF56" s="397">
        <f t="shared" si="8"/>
        <v>18551899.051091913</v>
      </c>
      <c r="AG56" s="397">
        <f t="shared" si="8"/>
        <v>17381048.24031993</v>
      </c>
      <c r="AH56" s="397">
        <f t="shared" si="8"/>
        <v>16864869.467445031</v>
      </c>
      <c r="AI56" s="397">
        <f t="shared" si="8"/>
        <v>17098740.456804466</v>
      </c>
      <c r="AJ56" s="397">
        <f t="shared" si="8"/>
        <v>16483949.693092285</v>
      </c>
      <c r="AK56" s="397">
        <f t="shared" si="8"/>
        <v>17926631.502946928</v>
      </c>
      <c r="AL56" s="399">
        <f t="shared" si="8"/>
        <v>14330197.343136262</v>
      </c>
      <c r="AM56" s="399">
        <f t="shared" si="8"/>
        <v>10321304.146022037</v>
      </c>
      <c r="AN56" s="399">
        <f t="shared" si="8"/>
        <v>11239185.888432201</v>
      </c>
      <c r="AO56" s="399">
        <f t="shared" si="8"/>
        <v>13732657.150863595</v>
      </c>
      <c r="AP56" s="399">
        <f t="shared" si="8"/>
        <v>18172809.818202563</v>
      </c>
      <c r="AQ56" s="399">
        <f t="shared" si="8"/>
        <v>18174957.183609493</v>
      </c>
      <c r="AR56" s="399">
        <f t="shared" si="8"/>
        <v>20092396.79565262</v>
      </c>
      <c r="AS56" s="399">
        <f t="shared" si="8"/>
        <v>19391083.247260377</v>
      </c>
      <c r="AT56" s="399">
        <f t="shared" si="8"/>
        <v>17713389.566820279</v>
      </c>
      <c r="AU56" s="399">
        <f t="shared" si="8"/>
        <v>18269907.615975425</v>
      </c>
      <c r="AV56" s="399">
        <f t="shared" si="8"/>
        <v>17842489.225806452</v>
      </c>
      <c r="AW56" s="399">
        <f t="shared" si="8"/>
        <v>18106616.838709675</v>
      </c>
      <c r="AY56" s="324"/>
    </row>
    <row r="57" spans="2:51" ht="15.75" thickBot="1" x14ac:dyDescent="0.3">
      <c r="B57" s="223"/>
      <c r="F57" s="222"/>
      <c r="G57" s="467"/>
      <c r="H57" s="467"/>
      <c r="M57" s="2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  <c r="AY57" s="223"/>
    </row>
    <row r="58" spans="2:51" s="325" customFormat="1" ht="15.75" thickBot="1" x14ac:dyDescent="0.3">
      <c r="B58" s="324"/>
      <c r="G58" s="467"/>
      <c r="H58" s="467"/>
      <c r="J58" s="337" t="s">
        <v>76</v>
      </c>
      <c r="K58" s="338"/>
      <c r="L58" s="338"/>
      <c r="M58" s="340"/>
      <c r="N58" s="337" t="s">
        <v>76</v>
      </c>
      <c r="O58" s="338"/>
      <c r="P58" s="338"/>
      <c r="Q58" s="338"/>
      <c r="R58" s="338"/>
      <c r="S58" s="338"/>
      <c r="T58" s="338"/>
      <c r="U58" s="338"/>
      <c r="V58" s="338"/>
      <c r="W58" s="338"/>
      <c r="X58" s="338"/>
      <c r="Y58" s="338"/>
      <c r="Z58" s="339"/>
      <c r="AA58" s="338"/>
      <c r="AB58" s="338"/>
      <c r="AC58" s="338"/>
      <c r="AD58" s="338"/>
      <c r="AE58" s="338"/>
      <c r="AF58" s="338"/>
      <c r="AG58" s="338"/>
      <c r="AH58" s="338"/>
      <c r="AI58" s="338"/>
      <c r="AJ58" s="338"/>
      <c r="AK58" s="338"/>
      <c r="AL58" s="338"/>
      <c r="AM58" s="338"/>
      <c r="AN58" s="338"/>
      <c r="AO58" s="338"/>
      <c r="AP58" s="338"/>
      <c r="AQ58" s="338"/>
      <c r="AR58" s="338"/>
      <c r="AS58" s="338"/>
      <c r="AT58" s="338"/>
      <c r="AU58" s="338"/>
      <c r="AV58" s="338"/>
      <c r="AW58" s="340"/>
      <c r="AY58" s="324"/>
    </row>
    <row r="59" spans="2:51" s="325" customFormat="1" ht="15.75" thickBot="1" x14ac:dyDescent="0.3">
      <c r="B59" s="324"/>
      <c r="G59" s="467"/>
      <c r="H59" s="467"/>
      <c r="J59" s="341" t="s">
        <v>8</v>
      </c>
      <c r="K59" s="342"/>
      <c r="L59" s="342"/>
      <c r="M59" s="343"/>
      <c r="N59" s="344">
        <v>2017</v>
      </c>
      <c r="O59" s="345"/>
      <c r="P59" s="345"/>
      <c r="Q59" s="345"/>
      <c r="R59" s="345"/>
      <c r="S59" s="345"/>
      <c r="T59" s="345"/>
      <c r="U59" s="345"/>
      <c r="V59" s="345"/>
      <c r="W59" s="345"/>
      <c r="X59" s="346"/>
      <c r="Y59" s="347"/>
      <c r="Z59" s="348">
        <v>2018</v>
      </c>
      <c r="AA59" s="349"/>
      <c r="AB59" s="349"/>
      <c r="AC59" s="349"/>
      <c r="AD59" s="349"/>
      <c r="AE59" s="349"/>
      <c r="AF59" s="349"/>
      <c r="AG59" s="349"/>
      <c r="AH59" s="349"/>
      <c r="AI59" s="349"/>
      <c r="AJ59" s="350"/>
      <c r="AK59" s="351"/>
      <c r="AL59" s="352">
        <v>2019</v>
      </c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3"/>
      <c r="AY59" s="324"/>
    </row>
    <row r="60" spans="2:51" s="325" customFormat="1" ht="15.75" thickBot="1" x14ac:dyDescent="0.3">
      <c r="B60" s="324"/>
      <c r="G60" s="467"/>
      <c r="H60" s="467"/>
      <c r="I60" s="354"/>
      <c r="J60" s="355">
        <v>2017</v>
      </c>
      <c r="K60" s="356">
        <v>2018</v>
      </c>
      <c r="L60" s="357">
        <v>2019</v>
      </c>
      <c r="M60" s="358" t="s">
        <v>46</v>
      </c>
      <c r="N60" s="360">
        <v>42736</v>
      </c>
      <c r="O60" s="359">
        <v>42767</v>
      </c>
      <c r="P60" s="360">
        <v>42795</v>
      </c>
      <c r="Q60" s="359">
        <v>42826</v>
      </c>
      <c r="R60" s="360">
        <v>42856</v>
      </c>
      <c r="S60" s="359">
        <v>42887</v>
      </c>
      <c r="T60" s="360">
        <v>42917</v>
      </c>
      <c r="U60" s="359">
        <v>42948</v>
      </c>
      <c r="V60" s="360">
        <v>42979</v>
      </c>
      <c r="W60" s="359">
        <v>43009</v>
      </c>
      <c r="X60" s="360">
        <v>43040</v>
      </c>
      <c r="Y60" s="359">
        <v>43070</v>
      </c>
      <c r="Z60" s="361">
        <v>43101</v>
      </c>
      <c r="AA60" s="362">
        <v>43132</v>
      </c>
      <c r="AB60" s="362">
        <v>43160</v>
      </c>
      <c r="AC60" s="362">
        <v>43191</v>
      </c>
      <c r="AD60" s="362">
        <v>43221</v>
      </c>
      <c r="AE60" s="362">
        <v>43252</v>
      </c>
      <c r="AF60" s="362">
        <v>43282</v>
      </c>
      <c r="AG60" s="362">
        <v>43313</v>
      </c>
      <c r="AH60" s="362">
        <v>43344</v>
      </c>
      <c r="AI60" s="362">
        <v>43374</v>
      </c>
      <c r="AJ60" s="363">
        <v>43405</v>
      </c>
      <c r="AK60" s="364">
        <v>43435</v>
      </c>
      <c r="AL60" s="365">
        <v>43466</v>
      </c>
      <c r="AM60" s="366">
        <v>43497</v>
      </c>
      <c r="AN60" s="366">
        <v>43525</v>
      </c>
      <c r="AO60" s="366">
        <v>43556</v>
      </c>
      <c r="AP60" s="366">
        <v>43586</v>
      </c>
      <c r="AQ60" s="366">
        <v>43617</v>
      </c>
      <c r="AR60" s="366">
        <v>43647</v>
      </c>
      <c r="AS60" s="366">
        <v>43678</v>
      </c>
      <c r="AT60" s="366">
        <v>43709</v>
      </c>
      <c r="AU60" s="366">
        <v>43739</v>
      </c>
      <c r="AV60" s="366">
        <v>43770</v>
      </c>
      <c r="AW60" s="367">
        <v>43800</v>
      </c>
      <c r="AY60" s="324"/>
    </row>
    <row r="61" spans="2:51" s="325" customFormat="1" ht="15.75" thickBot="1" x14ac:dyDescent="0.3">
      <c r="B61" s="324"/>
      <c r="G61" s="467"/>
      <c r="H61" s="467"/>
      <c r="I61" s="368" t="s">
        <v>75</v>
      </c>
      <c r="J61" s="369">
        <v>8760</v>
      </c>
      <c r="K61" s="370">
        <v>8760</v>
      </c>
      <c r="L61" s="371">
        <v>8760</v>
      </c>
      <c r="M61" s="372">
        <f>SUM(J61:L61)</f>
        <v>26280</v>
      </c>
      <c r="N61" s="408">
        <f t="shared" ref="N61:AW61" si="9">(DATE(YEAR(N49),MONTH(N49)+1,1)-N49)*24</f>
        <v>744</v>
      </c>
      <c r="O61" s="373">
        <f t="shared" si="9"/>
        <v>672</v>
      </c>
      <c r="P61" s="373">
        <f t="shared" si="9"/>
        <v>744</v>
      </c>
      <c r="Q61" s="373">
        <f t="shared" si="9"/>
        <v>720</v>
      </c>
      <c r="R61" s="373">
        <f t="shared" si="9"/>
        <v>744</v>
      </c>
      <c r="S61" s="373">
        <f t="shared" si="9"/>
        <v>720</v>
      </c>
      <c r="T61" s="373">
        <f t="shared" si="9"/>
        <v>744</v>
      </c>
      <c r="U61" s="373">
        <f t="shared" si="9"/>
        <v>744</v>
      </c>
      <c r="V61" s="373">
        <f t="shared" si="9"/>
        <v>720</v>
      </c>
      <c r="W61" s="373">
        <f t="shared" si="9"/>
        <v>744</v>
      </c>
      <c r="X61" s="373">
        <f t="shared" si="9"/>
        <v>720</v>
      </c>
      <c r="Y61" s="373">
        <f t="shared" si="9"/>
        <v>744</v>
      </c>
      <c r="Z61" s="374">
        <f t="shared" si="9"/>
        <v>744</v>
      </c>
      <c r="AA61" s="374">
        <f t="shared" si="9"/>
        <v>672</v>
      </c>
      <c r="AB61" s="374">
        <f t="shared" si="9"/>
        <v>744</v>
      </c>
      <c r="AC61" s="374">
        <f t="shared" si="9"/>
        <v>720</v>
      </c>
      <c r="AD61" s="374">
        <f t="shared" si="9"/>
        <v>744</v>
      </c>
      <c r="AE61" s="374">
        <f t="shared" si="9"/>
        <v>720</v>
      </c>
      <c r="AF61" s="374">
        <f t="shared" si="9"/>
        <v>744</v>
      </c>
      <c r="AG61" s="374">
        <f t="shared" si="9"/>
        <v>744</v>
      </c>
      <c r="AH61" s="374">
        <f t="shared" si="9"/>
        <v>720</v>
      </c>
      <c r="AI61" s="374">
        <f t="shared" si="9"/>
        <v>744</v>
      </c>
      <c r="AJ61" s="374">
        <f t="shared" si="9"/>
        <v>720</v>
      </c>
      <c r="AK61" s="374">
        <f t="shared" si="9"/>
        <v>744</v>
      </c>
      <c r="AL61" s="375">
        <f t="shared" si="9"/>
        <v>744</v>
      </c>
      <c r="AM61" s="375">
        <f t="shared" si="9"/>
        <v>672</v>
      </c>
      <c r="AN61" s="375">
        <f t="shared" si="9"/>
        <v>744</v>
      </c>
      <c r="AO61" s="375">
        <f t="shared" si="9"/>
        <v>720</v>
      </c>
      <c r="AP61" s="375">
        <f t="shared" si="9"/>
        <v>744</v>
      </c>
      <c r="AQ61" s="375">
        <f t="shared" si="9"/>
        <v>720</v>
      </c>
      <c r="AR61" s="375">
        <f t="shared" si="9"/>
        <v>744</v>
      </c>
      <c r="AS61" s="375">
        <f t="shared" si="9"/>
        <v>744</v>
      </c>
      <c r="AT61" s="375">
        <f t="shared" si="9"/>
        <v>720</v>
      </c>
      <c r="AU61" s="375">
        <f t="shared" si="9"/>
        <v>744</v>
      </c>
      <c r="AV61" s="375">
        <f t="shared" si="9"/>
        <v>720</v>
      </c>
      <c r="AW61" s="376">
        <f t="shared" si="9"/>
        <v>744</v>
      </c>
      <c r="AY61" s="324"/>
    </row>
    <row r="62" spans="2:51" s="325" customFormat="1" x14ac:dyDescent="0.25">
      <c r="B62" s="324"/>
      <c r="E62" s="326"/>
      <c r="G62" s="467"/>
      <c r="H62" s="467"/>
      <c r="I62" s="377" t="s">
        <v>77</v>
      </c>
      <c r="J62" s="377">
        <f>J50/J$61</f>
        <v>34.314118359297588</v>
      </c>
      <c r="K62" s="377">
        <f t="shared" ref="K62:AW64" si="10">K50/K$61</f>
        <v>61.550824408369778</v>
      </c>
      <c r="L62" s="377">
        <f t="shared" si="10"/>
        <v>20.284969138501022</v>
      </c>
      <c r="M62" s="377">
        <f t="shared" si="10"/>
        <v>38.716637302056128</v>
      </c>
      <c r="N62" s="378">
        <f t="shared" si="10"/>
        <v>30.002044866629138</v>
      </c>
      <c r="O62" s="379">
        <f t="shared" si="10"/>
        <v>35.44689723088986</v>
      </c>
      <c r="P62" s="379">
        <f t="shared" si="10"/>
        <v>35.696906613227611</v>
      </c>
      <c r="Q62" s="379">
        <f t="shared" si="10"/>
        <v>31.495749907304408</v>
      </c>
      <c r="R62" s="379">
        <f t="shared" si="10"/>
        <v>31.657187287572611</v>
      </c>
      <c r="S62" s="379">
        <f t="shared" si="10"/>
        <v>32.048401951058196</v>
      </c>
      <c r="T62" s="379">
        <f t="shared" si="10"/>
        <v>31.469311787078809</v>
      </c>
      <c r="U62" s="379">
        <f t="shared" si="10"/>
        <v>33.169716652243281</v>
      </c>
      <c r="V62" s="379">
        <f t="shared" si="10"/>
        <v>32.686843504547852</v>
      </c>
      <c r="W62" s="379">
        <f t="shared" si="10"/>
        <v>33.264813244283211</v>
      </c>
      <c r="X62" s="379">
        <f t="shared" si="10"/>
        <v>39.323242391485024</v>
      </c>
      <c r="Y62" s="380">
        <f t="shared" si="10"/>
        <v>45.56301780854082</v>
      </c>
      <c r="Z62" s="378">
        <f t="shared" si="10"/>
        <v>44.673085495321594</v>
      </c>
      <c r="AA62" s="379">
        <f t="shared" si="10"/>
        <v>45.742286278735634</v>
      </c>
      <c r="AB62" s="379">
        <f t="shared" si="10"/>
        <v>49.102761394081824</v>
      </c>
      <c r="AC62" s="379">
        <f t="shared" si="10"/>
        <v>51.706863593292958</v>
      </c>
      <c r="AD62" s="379">
        <f t="shared" si="10"/>
        <v>55.22188186976922</v>
      </c>
      <c r="AE62" s="379">
        <f t="shared" si="10"/>
        <v>62.289458598077545</v>
      </c>
      <c r="AF62" s="379">
        <f t="shared" si="10"/>
        <v>73.314702345621967</v>
      </c>
      <c r="AG62" s="379">
        <f t="shared" si="10"/>
        <v>71.460892565179577</v>
      </c>
      <c r="AH62" s="379">
        <f t="shared" si="10"/>
        <v>67.463527669312597</v>
      </c>
      <c r="AI62" s="379">
        <f t="shared" si="10"/>
        <v>64.952892498731529</v>
      </c>
      <c r="AJ62" s="379">
        <f t="shared" si="10"/>
        <v>72.570440486038535</v>
      </c>
      <c r="AK62" s="381">
        <f t="shared" si="10"/>
        <v>78.833725213511144</v>
      </c>
      <c r="AL62" s="379">
        <f t="shared" si="10"/>
        <v>83.594899886206846</v>
      </c>
      <c r="AM62" s="379">
        <f t="shared" si="10"/>
        <v>85.419501685546294</v>
      </c>
      <c r="AN62" s="379">
        <f t="shared" si="10"/>
        <v>78.091154576940752</v>
      </c>
      <c r="AO62" s="379">
        <f t="shared" si="10"/>
        <v>0</v>
      </c>
      <c r="AP62" s="379">
        <f t="shared" si="10"/>
        <v>0</v>
      </c>
      <c r="AQ62" s="379">
        <f t="shared" si="10"/>
        <v>0</v>
      </c>
      <c r="AR62" s="379">
        <f t="shared" si="10"/>
        <v>0</v>
      </c>
      <c r="AS62" s="379">
        <f t="shared" si="10"/>
        <v>0</v>
      </c>
      <c r="AT62" s="379">
        <f t="shared" si="10"/>
        <v>0</v>
      </c>
      <c r="AU62" s="379">
        <f t="shared" si="10"/>
        <v>0</v>
      </c>
      <c r="AV62" s="379">
        <f t="shared" si="10"/>
        <v>0</v>
      </c>
      <c r="AW62" s="380">
        <f t="shared" si="10"/>
        <v>0</v>
      </c>
      <c r="AY62" s="324"/>
    </row>
    <row r="63" spans="2:51" s="325" customFormat="1" x14ac:dyDescent="0.25">
      <c r="B63" s="324"/>
      <c r="E63" s="382"/>
      <c r="G63" s="467"/>
      <c r="H63" s="467"/>
      <c r="I63" s="383" t="s">
        <v>78</v>
      </c>
      <c r="J63" s="383">
        <f>J51/J$61</f>
        <v>97.370594308405032</v>
      </c>
      <c r="K63" s="383">
        <f t="shared" si="10"/>
        <v>440.21384337858814</v>
      </c>
      <c r="L63" s="383">
        <f t="shared" si="10"/>
        <v>122.55334754973511</v>
      </c>
      <c r="M63" s="383">
        <f t="shared" si="10"/>
        <v>220.04592841224272</v>
      </c>
      <c r="N63" s="384">
        <f t="shared" si="10"/>
        <v>171.53776362063348</v>
      </c>
      <c r="O63" s="385">
        <f t="shared" si="10"/>
        <v>144.29796036099916</v>
      </c>
      <c r="P63" s="385">
        <f t="shared" si="10"/>
        <v>110.2466194200065</v>
      </c>
      <c r="Q63" s="385">
        <f t="shared" si="10"/>
        <v>86.506338833271542</v>
      </c>
      <c r="R63" s="385">
        <f t="shared" si="10"/>
        <v>79.202334932083033</v>
      </c>
      <c r="S63" s="385">
        <f t="shared" si="10"/>
        <v>73.681895254629637</v>
      </c>
      <c r="T63" s="385">
        <f t="shared" si="10"/>
        <v>70.707485477068303</v>
      </c>
      <c r="U63" s="385">
        <f t="shared" si="10"/>
        <v>68.817248505906605</v>
      </c>
      <c r="V63" s="385">
        <f t="shared" si="10"/>
        <v>69.947169175785689</v>
      </c>
      <c r="W63" s="385">
        <f t="shared" si="10"/>
        <v>71.918644525225304</v>
      </c>
      <c r="X63" s="385">
        <f t="shared" si="10"/>
        <v>80.572406648713581</v>
      </c>
      <c r="Y63" s="386">
        <f t="shared" si="10"/>
        <v>143.01150787674905</v>
      </c>
      <c r="Z63" s="384">
        <f t="shared" si="10"/>
        <v>257.89558499094289</v>
      </c>
      <c r="AA63" s="385">
        <f t="shared" si="10"/>
        <v>283.66171703954569</v>
      </c>
      <c r="AB63" s="385">
        <f t="shared" si="10"/>
        <v>281.08545710885454</v>
      </c>
      <c r="AC63" s="385">
        <f t="shared" si="10"/>
        <v>370.95497021569042</v>
      </c>
      <c r="AD63" s="385">
        <f t="shared" si="10"/>
        <v>521.23546441667384</v>
      </c>
      <c r="AE63" s="385">
        <f t="shared" si="10"/>
        <v>513.40610084905416</v>
      </c>
      <c r="AF63" s="385">
        <f t="shared" si="10"/>
        <v>507.66621983406492</v>
      </c>
      <c r="AG63" s="385">
        <f t="shared" si="10"/>
        <v>512.99792311917793</v>
      </c>
      <c r="AH63" s="385">
        <f t="shared" si="10"/>
        <v>514.86158715578904</v>
      </c>
      <c r="AI63" s="385">
        <f t="shared" si="10"/>
        <v>506.39605916981128</v>
      </c>
      <c r="AJ63" s="385">
        <f t="shared" si="10"/>
        <v>500.28017799805855</v>
      </c>
      <c r="AK63" s="386">
        <f t="shared" si="10"/>
        <v>501.44715166756009</v>
      </c>
      <c r="AL63" s="385">
        <f t="shared" si="10"/>
        <v>507.11938781677333</v>
      </c>
      <c r="AM63" s="385">
        <f t="shared" si="10"/>
        <v>502.92352253401361</v>
      </c>
      <c r="AN63" s="385">
        <f t="shared" si="10"/>
        <v>481.59394201228878</v>
      </c>
      <c r="AO63" s="385">
        <f t="shared" si="10"/>
        <v>0</v>
      </c>
      <c r="AP63" s="385">
        <f t="shared" si="10"/>
        <v>0</v>
      </c>
      <c r="AQ63" s="385">
        <f t="shared" si="10"/>
        <v>0</v>
      </c>
      <c r="AR63" s="385">
        <f t="shared" si="10"/>
        <v>0</v>
      </c>
      <c r="AS63" s="385">
        <f t="shared" si="10"/>
        <v>0</v>
      </c>
      <c r="AT63" s="385">
        <f t="shared" si="10"/>
        <v>0</v>
      </c>
      <c r="AU63" s="385">
        <f t="shared" si="10"/>
        <v>0</v>
      </c>
      <c r="AV63" s="385">
        <f t="shared" si="10"/>
        <v>0</v>
      </c>
      <c r="AW63" s="386">
        <f t="shared" si="10"/>
        <v>0</v>
      </c>
      <c r="AY63" s="324"/>
    </row>
    <row r="64" spans="2:51" s="325" customFormat="1" ht="15.75" thickBot="1" x14ac:dyDescent="0.3">
      <c r="B64" s="324"/>
      <c r="E64" s="326"/>
      <c r="G64" s="467"/>
      <c r="H64" s="467"/>
      <c r="I64" s="387" t="s">
        <v>79</v>
      </c>
      <c r="J64" s="387">
        <f>J52/J$61</f>
        <v>10197.652306130069</v>
      </c>
      <c r="K64" s="387">
        <f t="shared" si="10"/>
        <v>22683.806847687185</v>
      </c>
      <c r="L64" s="387">
        <f t="shared" si="10"/>
        <v>3954.2721145435557</v>
      </c>
      <c r="M64" s="387">
        <f t="shared" si="10"/>
        <v>12278.577089453604</v>
      </c>
      <c r="N64" s="388">
        <f t="shared" si="10"/>
        <v>9225.2239988876518</v>
      </c>
      <c r="O64" s="389">
        <f t="shared" si="10"/>
        <v>8550.8672174329495</v>
      </c>
      <c r="P64" s="389">
        <f t="shared" si="10"/>
        <v>8490.9058971734339</v>
      </c>
      <c r="Q64" s="389">
        <f t="shared" si="10"/>
        <v>8212.8171940015654</v>
      </c>
      <c r="R64" s="389">
        <f t="shared" si="10"/>
        <v>8469.0776452629543</v>
      </c>
      <c r="S64" s="389">
        <f t="shared" si="10"/>
        <v>9152.3595665708817</v>
      </c>
      <c r="T64" s="389">
        <f t="shared" si="10"/>
        <v>9711.2551371296668</v>
      </c>
      <c r="U64" s="389">
        <f t="shared" si="10"/>
        <v>10058.462938720606</v>
      </c>
      <c r="V64" s="389">
        <f t="shared" si="10"/>
        <v>11081.000326165848</v>
      </c>
      <c r="W64" s="389">
        <f t="shared" si="10"/>
        <v>11838.875696235542</v>
      </c>
      <c r="X64" s="389">
        <f t="shared" si="10"/>
        <v>12560.653964236453</v>
      </c>
      <c r="Y64" s="390">
        <f t="shared" si="10"/>
        <v>14867.936690464663</v>
      </c>
      <c r="Z64" s="388">
        <f t="shared" si="10"/>
        <v>18502.90505493329</v>
      </c>
      <c r="AA64" s="389">
        <f t="shared" si="10"/>
        <v>21597.736149596331</v>
      </c>
      <c r="AB64" s="389">
        <f t="shared" si="10"/>
        <v>22838.65494030105</v>
      </c>
      <c r="AC64" s="389">
        <f t="shared" si="10"/>
        <v>23133.425472747498</v>
      </c>
      <c r="AD64" s="389">
        <f t="shared" si="10"/>
        <v>23732.740949630497</v>
      </c>
      <c r="AE64" s="389">
        <f t="shared" si="10"/>
        <v>24130.015171593346</v>
      </c>
      <c r="AF64" s="389">
        <f t="shared" si="10"/>
        <v>24354.367264771809</v>
      </c>
      <c r="AG64" s="389">
        <f t="shared" si="10"/>
        <v>22777.165163240279</v>
      </c>
      <c r="AH64" s="389">
        <f t="shared" si="10"/>
        <v>22841.104701070773</v>
      </c>
      <c r="AI64" s="389">
        <f t="shared" si="10"/>
        <v>22410.829081670796</v>
      </c>
      <c r="AJ64" s="389">
        <f t="shared" si="10"/>
        <v>22321.523955255187</v>
      </c>
      <c r="AK64" s="390">
        <f t="shared" si="10"/>
        <v>23514.65393890781</v>
      </c>
      <c r="AL64" s="389">
        <f t="shared" si="10"/>
        <v>18670.303646619952</v>
      </c>
      <c r="AM64" s="389">
        <f t="shared" si="10"/>
        <v>14770.74052640847</v>
      </c>
      <c r="AN64" s="389">
        <f t="shared" si="10"/>
        <v>14546.747549152975</v>
      </c>
      <c r="AO64" s="389">
        <f t="shared" si="10"/>
        <v>0</v>
      </c>
      <c r="AP64" s="389">
        <f t="shared" si="10"/>
        <v>0</v>
      </c>
      <c r="AQ64" s="389">
        <f t="shared" si="10"/>
        <v>0</v>
      </c>
      <c r="AR64" s="389">
        <f t="shared" si="10"/>
        <v>0</v>
      </c>
      <c r="AS64" s="389">
        <f t="shared" si="10"/>
        <v>0</v>
      </c>
      <c r="AT64" s="389">
        <f t="shared" si="10"/>
        <v>0</v>
      </c>
      <c r="AU64" s="389">
        <f t="shared" si="10"/>
        <v>0</v>
      </c>
      <c r="AV64" s="389">
        <f t="shared" si="10"/>
        <v>0</v>
      </c>
      <c r="AW64" s="390">
        <f t="shared" si="10"/>
        <v>0</v>
      </c>
      <c r="AY64" s="324"/>
    </row>
    <row r="65" spans="2:51" s="325" customFormat="1" x14ac:dyDescent="0.25">
      <c r="B65" s="324"/>
      <c r="E65" s="326"/>
      <c r="G65" s="467"/>
      <c r="H65" s="467"/>
      <c r="I65" s="377" t="s">
        <v>80</v>
      </c>
      <c r="J65" s="377">
        <f>J53/(8/12*J$61)</f>
        <v>0</v>
      </c>
      <c r="K65" s="377">
        <f t="shared" ref="K65:AW67" si="11">K53/(8/12*K$61)</f>
        <v>0</v>
      </c>
      <c r="L65" s="377">
        <f t="shared" si="11"/>
        <v>76.405479452054792</v>
      </c>
      <c r="M65" s="377">
        <f t="shared" si="11"/>
        <v>25.468493150684932</v>
      </c>
      <c r="N65" s="378">
        <f t="shared" si="11"/>
        <v>0</v>
      </c>
      <c r="O65" s="379">
        <f t="shared" si="11"/>
        <v>0</v>
      </c>
      <c r="P65" s="379">
        <f t="shared" si="11"/>
        <v>0</v>
      </c>
      <c r="Q65" s="379">
        <f t="shared" si="11"/>
        <v>0</v>
      </c>
      <c r="R65" s="379">
        <f t="shared" si="11"/>
        <v>0</v>
      </c>
      <c r="S65" s="379">
        <f t="shared" si="11"/>
        <v>0</v>
      </c>
      <c r="T65" s="379">
        <f t="shared" si="11"/>
        <v>0</v>
      </c>
      <c r="U65" s="379">
        <f t="shared" si="11"/>
        <v>0</v>
      </c>
      <c r="V65" s="379">
        <f t="shared" si="11"/>
        <v>0</v>
      </c>
      <c r="W65" s="379">
        <f t="shared" si="11"/>
        <v>0</v>
      </c>
      <c r="X65" s="379">
        <f t="shared" si="11"/>
        <v>0</v>
      </c>
      <c r="Y65" s="380">
        <f t="shared" si="11"/>
        <v>0</v>
      </c>
      <c r="Z65" s="378">
        <f t="shared" si="11"/>
        <v>0</v>
      </c>
      <c r="AA65" s="379">
        <f t="shared" si="11"/>
        <v>0</v>
      </c>
      <c r="AB65" s="379">
        <f t="shared" si="11"/>
        <v>0</v>
      </c>
      <c r="AC65" s="379">
        <f t="shared" si="11"/>
        <v>0</v>
      </c>
      <c r="AD65" s="379">
        <f t="shared" si="11"/>
        <v>0</v>
      </c>
      <c r="AE65" s="379">
        <f t="shared" si="11"/>
        <v>0</v>
      </c>
      <c r="AF65" s="379">
        <f t="shared" si="11"/>
        <v>0</v>
      </c>
      <c r="AG65" s="379">
        <f t="shared" si="11"/>
        <v>0</v>
      </c>
      <c r="AH65" s="379">
        <f t="shared" si="11"/>
        <v>0</v>
      </c>
      <c r="AI65" s="379">
        <f t="shared" si="11"/>
        <v>0</v>
      </c>
      <c r="AJ65" s="379">
        <f t="shared" si="11"/>
        <v>0</v>
      </c>
      <c r="AK65" s="391">
        <f t="shared" si="11"/>
        <v>0</v>
      </c>
      <c r="AL65" s="379">
        <f t="shared" si="11"/>
        <v>0</v>
      </c>
      <c r="AM65" s="379">
        <f t="shared" si="11"/>
        <v>0</v>
      </c>
      <c r="AN65" s="379">
        <f t="shared" si="11"/>
        <v>0</v>
      </c>
      <c r="AO65" s="379">
        <f t="shared" si="11"/>
        <v>120.52291666666666</v>
      </c>
      <c r="AP65" s="379">
        <f t="shared" si="11"/>
        <v>99.832661290322577</v>
      </c>
      <c r="AQ65" s="379">
        <f t="shared" si="11"/>
        <v>92.489583333333329</v>
      </c>
      <c r="AR65" s="379">
        <f t="shared" si="11"/>
        <v>88.701612903225808</v>
      </c>
      <c r="AS65" s="379">
        <f t="shared" si="11"/>
        <v>101.49596774193549</v>
      </c>
      <c r="AT65" s="379">
        <f t="shared" si="11"/>
        <v>96.541666666666671</v>
      </c>
      <c r="AU65" s="379">
        <f t="shared" si="11"/>
        <v>95.453629032258064</v>
      </c>
      <c r="AV65" s="379">
        <f t="shared" si="11"/>
        <v>108.33958333333334</v>
      </c>
      <c r="AW65" s="380">
        <f t="shared" si="11"/>
        <v>109.71572580645162</v>
      </c>
      <c r="AY65" s="324"/>
    </row>
    <row r="66" spans="2:51" s="325" customFormat="1" x14ac:dyDescent="0.25">
      <c r="B66" s="324"/>
      <c r="G66" s="467"/>
      <c r="H66" s="467"/>
      <c r="I66" s="383" t="s">
        <v>81</v>
      </c>
      <c r="J66" s="383">
        <f>J54/(8/12*J$61)</f>
        <v>0</v>
      </c>
      <c r="K66" s="383">
        <f t="shared" si="11"/>
        <v>0</v>
      </c>
      <c r="L66" s="383">
        <f t="shared" si="11"/>
        <v>473.86474458465483</v>
      </c>
      <c r="M66" s="383">
        <f t="shared" si="11"/>
        <v>157.9549148615516</v>
      </c>
      <c r="N66" s="384">
        <f t="shared" si="11"/>
        <v>0</v>
      </c>
      <c r="O66" s="385">
        <f t="shared" si="11"/>
        <v>0</v>
      </c>
      <c r="P66" s="385">
        <f t="shared" si="11"/>
        <v>0</v>
      </c>
      <c r="Q66" s="385">
        <f t="shared" si="11"/>
        <v>0</v>
      </c>
      <c r="R66" s="385">
        <f t="shared" si="11"/>
        <v>0</v>
      </c>
      <c r="S66" s="385">
        <f t="shared" si="11"/>
        <v>0</v>
      </c>
      <c r="T66" s="385">
        <f t="shared" si="11"/>
        <v>0</v>
      </c>
      <c r="U66" s="385">
        <f t="shared" si="11"/>
        <v>0</v>
      </c>
      <c r="V66" s="385">
        <f t="shared" si="11"/>
        <v>0</v>
      </c>
      <c r="W66" s="385">
        <f t="shared" si="11"/>
        <v>0</v>
      </c>
      <c r="X66" s="385">
        <f t="shared" si="11"/>
        <v>0</v>
      </c>
      <c r="Y66" s="386">
        <f t="shared" si="11"/>
        <v>0</v>
      </c>
      <c r="Z66" s="384">
        <f t="shared" si="11"/>
        <v>0</v>
      </c>
      <c r="AA66" s="385">
        <f t="shared" si="11"/>
        <v>0</v>
      </c>
      <c r="AB66" s="385">
        <f t="shared" si="11"/>
        <v>0</v>
      </c>
      <c r="AC66" s="385">
        <f t="shared" si="11"/>
        <v>0</v>
      </c>
      <c r="AD66" s="385">
        <f t="shared" si="11"/>
        <v>0</v>
      </c>
      <c r="AE66" s="385">
        <f t="shared" si="11"/>
        <v>0</v>
      </c>
      <c r="AF66" s="385">
        <f t="shared" si="11"/>
        <v>0</v>
      </c>
      <c r="AG66" s="385">
        <f t="shared" si="11"/>
        <v>0</v>
      </c>
      <c r="AH66" s="385">
        <f t="shared" si="11"/>
        <v>0</v>
      </c>
      <c r="AI66" s="385">
        <f t="shared" si="11"/>
        <v>0</v>
      </c>
      <c r="AJ66" s="385">
        <f t="shared" si="11"/>
        <v>0</v>
      </c>
      <c r="AK66" s="386">
        <f t="shared" si="11"/>
        <v>0</v>
      </c>
      <c r="AL66" s="385">
        <f t="shared" si="11"/>
        <v>0</v>
      </c>
      <c r="AM66" s="385">
        <f t="shared" si="11"/>
        <v>0</v>
      </c>
      <c r="AN66" s="385">
        <f t="shared" si="11"/>
        <v>0</v>
      </c>
      <c r="AO66" s="385">
        <f t="shared" si="11"/>
        <v>549.76577546480212</v>
      </c>
      <c r="AP66" s="385">
        <f t="shared" si="11"/>
        <v>419.49906482112743</v>
      </c>
      <c r="AQ66" s="385">
        <f t="shared" si="11"/>
        <v>563.31666666666672</v>
      </c>
      <c r="AR66" s="385">
        <f t="shared" si="11"/>
        <v>719.38104838709683</v>
      </c>
      <c r="AS66" s="385">
        <f t="shared" si="11"/>
        <v>680.15927419354841</v>
      </c>
      <c r="AT66" s="385">
        <f t="shared" si="11"/>
        <v>661.43333333333328</v>
      </c>
      <c r="AU66" s="385">
        <f t="shared" si="11"/>
        <v>682.92943548387098</v>
      </c>
      <c r="AV66" s="385">
        <f t="shared" si="11"/>
        <v>695.25625000000002</v>
      </c>
      <c r="AW66" s="386">
        <f t="shared" si="11"/>
        <v>687.30443548387098</v>
      </c>
      <c r="AY66" s="324"/>
    </row>
    <row r="67" spans="2:51" s="325" customFormat="1" ht="15.75" thickBot="1" x14ac:dyDescent="0.3">
      <c r="B67" s="324"/>
      <c r="G67" s="467"/>
      <c r="H67" s="467"/>
      <c r="I67" s="387" t="s">
        <v>82</v>
      </c>
      <c r="J67" s="387">
        <f>J55/(8/12*J$61)</f>
        <v>0</v>
      </c>
      <c r="K67" s="387">
        <f t="shared" si="11"/>
        <v>0</v>
      </c>
      <c r="L67" s="387">
        <f t="shared" si="11"/>
        <v>27103.207077829815</v>
      </c>
      <c r="M67" s="387">
        <f t="shared" si="11"/>
        <v>9034.4023592766043</v>
      </c>
      <c r="N67" s="388">
        <f t="shared" si="11"/>
        <v>0</v>
      </c>
      <c r="O67" s="389">
        <f t="shared" si="11"/>
        <v>0</v>
      </c>
      <c r="P67" s="389">
        <f t="shared" si="11"/>
        <v>0</v>
      </c>
      <c r="Q67" s="389">
        <f t="shared" si="11"/>
        <v>0</v>
      </c>
      <c r="R67" s="389">
        <f t="shared" si="11"/>
        <v>0</v>
      </c>
      <c r="S67" s="389">
        <f t="shared" si="11"/>
        <v>0</v>
      </c>
      <c r="T67" s="389">
        <f t="shared" si="11"/>
        <v>0</v>
      </c>
      <c r="U67" s="389">
        <f t="shared" si="11"/>
        <v>0</v>
      </c>
      <c r="V67" s="389">
        <f t="shared" si="11"/>
        <v>0</v>
      </c>
      <c r="W67" s="389">
        <f t="shared" si="11"/>
        <v>0</v>
      </c>
      <c r="X67" s="389">
        <f t="shared" si="11"/>
        <v>0</v>
      </c>
      <c r="Y67" s="390">
        <f t="shared" si="11"/>
        <v>0</v>
      </c>
      <c r="Z67" s="388">
        <f t="shared" si="11"/>
        <v>0</v>
      </c>
      <c r="AA67" s="389">
        <f t="shared" si="11"/>
        <v>0</v>
      </c>
      <c r="AB67" s="389">
        <f t="shared" si="11"/>
        <v>0</v>
      </c>
      <c r="AC67" s="389">
        <f t="shared" si="11"/>
        <v>0</v>
      </c>
      <c r="AD67" s="389">
        <f t="shared" si="11"/>
        <v>0</v>
      </c>
      <c r="AE67" s="389">
        <f t="shared" si="11"/>
        <v>0</v>
      </c>
      <c r="AF67" s="389">
        <f t="shared" si="11"/>
        <v>0</v>
      </c>
      <c r="AG67" s="389">
        <f t="shared" si="11"/>
        <v>0</v>
      </c>
      <c r="AH67" s="389">
        <f t="shared" si="11"/>
        <v>0</v>
      </c>
      <c r="AI67" s="389">
        <f t="shared" si="11"/>
        <v>0</v>
      </c>
      <c r="AJ67" s="389">
        <f t="shared" si="11"/>
        <v>0</v>
      </c>
      <c r="AK67" s="390">
        <f t="shared" si="11"/>
        <v>0</v>
      </c>
      <c r="AL67" s="389">
        <f t="shared" si="11"/>
        <v>0</v>
      </c>
      <c r="AM67" s="389">
        <f t="shared" si="11"/>
        <v>0</v>
      </c>
      <c r="AN67" s="389">
        <f t="shared" si="11"/>
        <v>0</v>
      </c>
      <c r="AO67" s="389">
        <f t="shared" si="11"/>
        <v>27939.413705501021</v>
      </c>
      <c r="AP67" s="389">
        <f t="shared" si="11"/>
        <v>36119.397746071139</v>
      </c>
      <c r="AQ67" s="389">
        <f t="shared" si="11"/>
        <v>37208.687882519778</v>
      </c>
      <c r="AR67" s="389">
        <f t="shared" si="11"/>
        <v>39700.781846073834</v>
      </c>
      <c r="AS67" s="389">
        <f t="shared" si="11"/>
        <v>38313.270659799149</v>
      </c>
      <c r="AT67" s="389">
        <f t="shared" si="11"/>
        <v>36144.919930875578</v>
      </c>
      <c r="AU67" s="389">
        <f t="shared" si="11"/>
        <v>36056.108096724645</v>
      </c>
      <c r="AV67" s="389">
        <f t="shared" si="11"/>
        <v>36368.256720430109</v>
      </c>
      <c r="AW67" s="390">
        <f t="shared" si="11"/>
        <v>35708.255723204988</v>
      </c>
      <c r="AY67" s="324"/>
    </row>
    <row r="68" spans="2:51" s="325" customFormat="1" x14ac:dyDescent="0.25">
      <c r="B68" s="324"/>
      <c r="G68" s="467"/>
      <c r="H68" s="467"/>
      <c r="I68" s="322" t="s">
        <v>40</v>
      </c>
      <c r="J68" s="392">
        <f>J56/J61</f>
        <v>10329.337018797771</v>
      </c>
      <c r="K68" s="393">
        <f t="shared" ref="K68:AW68" si="12">K56/K61</f>
        <v>23185.571515474141</v>
      </c>
      <c r="L68" s="394">
        <f t="shared" si="12"/>
        <v>22532.761965809477</v>
      </c>
      <c r="M68" s="394">
        <f t="shared" si="12"/>
        <v>18682.556833360461</v>
      </c>
      <c r="N68" s="409">
        <f t="shared" si="12"/>
        <v>9426.7638073749149</v>
      </c>
      <c r="O68" s="392">
        <f t="shared" si="12"/>
        <v>8730.6120750248392</v>
      </c>
      <c r="P68" s="392">
        <f t="shared" si="12"/>
        <v>8636.8494232066678</v>
      </c>
      <c r="Q68" s="392">
        <f t="shared" si="12"/>
        <v>8330.8192827421408</v>
      </c>
      <c r="R68" s="392">
        <f t="shared" si="12"/>
        <v>8579.9371674826107</v>
      </c>
      <c r="S68" s="392">
        <f t="shared" si="12"/>
        <v>9258.0898637765695</v>
      </c>
      <c r="T68" s="392">
        <f t="shared" si="12"/>
        <v>9813.4319343938132</v>
      </c>
      <c r="U68" s="392">
        <f t="shared" si="12"/>
        <v>10160.449903878754</v>
      </c>
      <c r="V68" s="392">
        <f t="shared" si="12"/>
        <v>11183.634338846181</v>
      </c>
      <c r="W68" s="392">
        <f t="shared" si="12"/>
        <v>11944.05915400505</v>
      </c>
      <c r="X68" s="392">
        <f t="shared" si="12"/>
        <v>12680.549613276651</v>
      </c>
      <c r="Y68" s="392">
        <f t="shared" si="12"/>
        <v>15056.511216149953</v>
      </c>
      <c r="Z68" s="393">
        <f t="shared" si="12"/>
        <v>18805.473725419553</v>
      </c>
      <c r="AA68" s="393">
        <f t="shared" si="12"/>
        <v>21927.14015291461</v>
      </c>
      <c r="AB68" s="393">
        <f t="shared" si="12"/>
        <v>23168.843158803989</v>
      </c>
      <c r="AC68" s="393">
        <f t="shared" si="12"/>
        <v>23556.087306556485</v>
      </c>
      <c r="AD68" s="393">
        <f t="shared" si="12"/>
        <v>24309.19829591694</v>
      </c>
      <c r="AE68" s="393">
        <f t="shared" si="12"/>
        <v>24705.710731040475</v>
      </c>
      <c r="AF68" s="393">
        <f t="shared" si="12"/>
        <v>24935.348186951494</v>
      </c>
      <c r="AG68" s="393">
        <f t="shared" si="12"/>
        <v>23361.623978924636</v>
      </c>
      <c r="AH68" s="393">
        <f t="shared" si="12"/>
        <v>23423.429815895877</v>
      </c>
      <c r="AI68" s="393">
        <f t="shared" si="12"/>
        <v>22982.178033339336</v>
      </c>
      <c r="AJ68" s="393">
        <f t="shared" si="12"/>
        <v>22894.374573739286</v>
      </c>
      <c r="AK68" s="393">
        <f t="shared" si="12"/>
        <v>24094.934815788882</v>
      </c>
      <c r="AL68" s="395">
        <f t="shared" si="12"/>
        <v>19261.017934322932</v>
      </c>
      <c r="AM68" s="395">
        <f t="shared" si="12"/>
        <v>15359.083550628031</v>
      </c>
      <c r="AN68" s="395">
        <f t="shared" si="12"/>
        <v>15106.432645742205</v>
      </c>
      <c r="AO68" s="395">
        <f t="shared" si="12"/>
        <v>19073.134931754994</v>
      </c>
      <c r="AP68" s="395">
        <f t="shared" si="12"/>
        <v>24425.819648121724</v>
      </c>
      <c r="AQ68" s="395">
        <f t="shared" si="12"/>
        <v>25242.996088346517</v>
      </c>
      <c r="AR68" s="395">
        <f t="shared" si="12"/>
        <v>27005.909671576104</v>
      </c>
      <c r="AS68" s="395">
        <f t="shared" si="12"/>
        <v>26063.283934489755</v>
      </c>
      <c r="AT68" s="395">
        <f t="shared" si="12"/>
        <v>24601.929953917053</v>
      </c>
      <c r="AU68" s="395">
        <f t="shared" si="12"/>
        <v>24556.327440827183</v>
      </c>
      <c r="AV68" s="395">
        <f t="shared" si="12"/>
        <v>24781.235035842295</v>
      </c>
      <c r="AW68" s="395">
        <f t="shared" si="12"/>
        <v>24336.85058966354</v>
      </c>
      <c r="AY68" s="324"/>
    </row>
    <row r="69" spans="2:51" x14ac:dyDescent="0.25">
      <c r="B69" s="223"/>
      <c r="G69"/>
      <c r="H69"/>
      <c r="I69" s="73"/>
      <c r="AY69" s="223"/>
    </row>
    <row r="70" spans="2:51" x14ac:dyDescent="0.25">
      <c r="B70" s="223"/>
      <c r="C70" s="223"/>
      <c r="D70" s="223"/>
      <c r="E70" s="223"/>
      <c r="F70" s="223"/>
      <c r="G70" s="226"/>
      <c r="H70" s="226"/>
      <c r="I70" s="223"/>
      <c r="J70" s="223"/>
      <c r="K70" s="223"/>
      <c r="L70" s="223"/>
      <c r="M70" s="226"/>
      <c r="N70" s="223"/>
      <c r="O70" s="223"/>
      <c r="P70" s="223"/>
      <c r="Q70" s="223"/>
      <c r="R70" s="223"/>
      <c r="S70" s="223"/>
      <c r="T70" s="223"/>
      <c r="U70" s="223"/>
      <c r="V70" s="223"/>
      <c r="W70" s="223"/>
      <c r="X70" s="223"/>
      <c r="Y70" s="223"/>
      <c r="Z70" s="223"/>
      <c r="AA70" s="223"/>
      <c r="AB70" s="223"/>
      <c r="AC70" s="223"/>
      <c r="AD70" s="223"/>
      <c r="AE70" s="223"/>
      <c r="AF70" s="223"/>
      <c r="AG70" s="223"/>
      <c r="AH70" s="223"/>
      <c r="AI70" s="223"/>
      <c r="AJ70" s="223"/>
      <c r="AK70" s="223"/>
      <c r="AL70" s="223"/>
      <c r="AM70" s="223"/>
      <c r="AN70" s="223"/>
      <c r="AO70" s="223"/>
      <c r="AP70" s="223"/>
      <c r="AQ70" s="223"/>
      <c r="AR70" s="223"/>
      <c r="AS70" s="223"/>
      <c r="AT70" s="223"/>
      <c r="AU70" s="223"/>
      <c r="AV70" s="223"/>
      <c r="AW70" s="223"/>
      <c r="AX70" s="223"/>
      <c r="AY70" s="223"/>
    </row>
    <row r="71" spans="2:51" x14ac:dyDescent="0.25">
      <c r="G71"/>
      <c r="H71"/>
    </row>
    <row r="72" spans="2:51" x14ac:dyDescent="0.25">
      <c r="G72"/>
      <c r="H72"/>
    </row>
    <row r="73" spans="2:51" x14ac:dyDescent="0.25">
      <c r="G73"/>
      <c r="H73"/>
    </row>
    <row r="112" spans="10:12" x14ac:dyDescent="0.25">
      <c r="J112" s="74"/>
      <c r="K112" s="74"/>
      <c r="L112" s="74"/>
    </row>
    <row r="113" spans="10:12" x14ac:dyDescent="0.25">
      <c r="J113" s="74"/>
      <c r="K113" s="74"/>
      <c r="L113" s="74"/>
    </row>
    <row r="114" spans="10:12" x14ac:dyDescent="0.25">
      <c r="J114" s="74"/>
      <c r="K114" s="74"/>
      <c r="L114" s="74"/>
    </row>
    <row r="115" spans="10:12" x14ac:dyDescent="0.25">
      <c r="J115" s="74"/>
      <c r="K115" s="74"/>
      <c r="L115" s="74"/>
    </row>
    <row r="116" spans="10:12" x14ac:dyDescent="0.25">
      <c r="J116" s="74"/>
      <c r="K116" s="74"/>
      <c r="L116" s="74"/>
    </row>
    <row r="117" spans="10:12" x14ac:dyDescent="0.25">
      <c r="J117" s="74"/>
      <c r="K117" s="74"/>
      <c r="L117" s="74"/>
    </row>
    <row r="118" spans="10:12" x14ac:dyDescent="0.25">
      <c r="J118" s="74"/>
      <c r="K118" s="74"/>
      <c r="L118" s="74"/>
    </row>
    <row r="119" spans="10:12" x14ac:dyDescent="0.25">
      <c r="J119" s="74"/>
      <c r="K119" s="74"/>
      <c r="L119" s="74"/>
    </row>
    <row r="120" spans="10:12" x14ac:dyDescent="0.25">
      <c r="J120" s="74"/>
      <c r="K120" s="74"/>
      <c r="L120" s="74"/>
    </row>
  </sheetData>
  <conditionalFormatting sqref="D41:E41 I41:AW41">
    <cfRule type="expression" dxfId="32" priority="364">
      <formula>#REF!="RATE7   "</formula>
    </cfRule>
    <cfRule type="expression" dxfId="31" priority="365" stopIfTrue="1">
      <formula>#REF!="RATE1   "</formula>
    </cfRule>
    <cfRule type="expression" dxfId="30" priority="366">
      <formula>#REF!="RATE2   "</formula>
    </cfRule>
  </conditionalFormatting>
  <conditionalFormatting sqref="D7:AW40">
    <cfRule type="expression" dxfId="29" priority="319">
      <formula>$I7="RATE7   "</formula>
    </cfRule>
    <cfRule type="expression" dxfId="28" priority="320" stopIfTrue="1">
      <formula>$I7="RATE1   "</formula>
    </cfRule>
    <cfRule type="expression" dxfId="27" priority="321">
      <formula>$I7="RATE2   "</formula>
    </cfRule>
  </conditionalFormatting>
  <conditionalFormatting sqref="D49 J50:AV55 J62:AV67 D42:AW44 D50:H55 G49:H49">
    <cfRule type="expression" dxfId="26" priority="43">
      <formula>$D42="RATE7   "</formula>
    </cfRule>
    <cfRule type="expression" dxfId="25" priority="44" stopIfTrue="1">
      <formula>$D42="RATE1   "</formula>
    </cfRule>
    <cfRule type="expression" dxfId="24" priority="45">
      <formula>$D42="RATE2   "</formula>
    </cfRule>
  </conditionalFormatting>
  <conditionalFormatting sqref="I53:I55">
    <cfRule type="expression" dxfId="23" priority="10">
      <formula>$D53="RATE7   "</formula>
    </cfRule>
    <cfRule type="expression" dxfId="22" priority="11" stopIfTrue="1">
      <formula>$D53="RATE1   "</formula>
    </cfRule>
    <cfRule type="expression" dxfId="21" priority="12">
      <formula>$D53="RATE2   "</formula>
    </cfRule>
  </conditionalFormatting>
  <conditionalFormatting sqref="I60">
    <cfRule type="expression" dxfId="20" priority="37">
      <formula>$D60="RATE7   "</formula>
    </cfRule>
    <cfRule type="expression" dxfId="19" priority="38" stopIfTrue="1">
      <formula>$D60="RATE1   "</formula>
    </cfRule>
    <cfRule type="expression" dxfId="18" priority="39">
      <formula>$D60="RATE2   "</formula>
    </cfRule>
  </conditionalFormatting>
  <conditionalFormatting sqref="F62:H65">
    <cfRule type="expression" dxfId="17" priority="34">
      <formula>$D62="RATE7   "</formula>
    </cfRule>
    <cfRule type="expression" dxfId="16" priority="35" stopIfTrue="1">
      <formula>$D62="RATE1   "</formula>
    </cfRule>
    <cfRule type="expression" dxfId="15" priority="36">
      <formula>$D62="RATE2   "</formula>
    </cfRule>
  </conditionalFormatting>
  <conditionalFormatting sqref="I65:I67">
    <cfRule type="expression" dxfId="14" priority="22">
      <formula>$D65="RATE7   "</formula>
    </cfRule>
    <cfRule type="expression" dxfId="13" priority="23" stopIfTrue="1">
      <formula>$D65="RATE1   "</formula>
    </cfRule>
    <cfRule type="expression" dxfId="12" priority="24">
      <formula>$D65="RATE2   "</formula>
    </cfRule>
  </conditionalFormatting>
  <conditionalFormatting sqref="I62:I64">
    <cfRule type="expression" dxfId="11" priority="25">
      <formula>$D62="RATE7   "</formula>
    </cfRule>
    <cfRule type="expression" dxfId="10" priority="26" stopIfTrue="1">
      <formula>$D62="RATE1   "</formula>
    </cfRule>
    <cfRule type="expression" dxfId="9" priority="27">
      <formula>$D62="RATE2   "</formula>
    </cfRule>
  </conditionalFormatting>
  <conditionalFormatting sqref="I50:I52">
    <cfRule type="expression" dxfId="8" priority="13">
      <formula>$D50="RATE7   "</formula>
    </cfRule>
    <cfRule type="expression" dxfId="7" priority="14" stopIfTrue="1">
      <formula>$D50="RATE1   "</formula>
    </cfRule>
    <cfRule type="expression" dxfId="6" priority="15">
      <formula>$D50="RATE2   "</formula>
    </cfRule>
  </conditionalFormatting>
  <conditionalFormatting sqref="G6:H6">
    <cfRule type="expression" dxfId="5" priority="4">
      <formula>$I6="RATE7   "</formula>
    </cfRule>
    <cfRule type="expression" dxfId="4" priority="5" stopIfTrue="1">
      <formula>$I6="RATE1   "</formula>
    </cfRule>
    <cfRule type="expression" dxfId="3" priority="6">
      <formula>$I6="RATE2   "</formula>
    </cfRule>
  </conditionalFormatting>
  <conditionalFormatting sqref="G7:H40">
    <cfRule type="expression" dxfId="2" priority="1">
      <formula>$I7="RATE7   "</formula>
    </cfRule>
    <cfRule type="expression" dxfId="1" priority="2" stopIfTrue="1">
      <formula>$I7="RATE1   "</formula>
    </cfRule>
    <cfRule type="expression" dxfId="0" priority="3">
      <formula>$I7="RATE2   "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E8A4DDA68A38449C74383BD20B03A9" ma:contentTypeVersion="8" ma:contentTypeDescription="Create a new document." ma:contentTypeScope="" ma:versionID="ba5fb0c00eb79bcfcdd5c4a7b234aabe">
  <xsd:schema xmlns:xsd="http://www.w3.org/2001/XMLSchema" xmlns:xs="http://www.w3.org/2001/XMLSchema" xmlns:p="http://schemas.microsoft.com/office/2006/metadata/properties" xmlns:ns1="http://schemas.microsoft.com/sharepoint/v3" xmlns:ns2="bf3c4443-ebf4-4b21-a429-7b711626884a" xmlns:ns3="5630a6f2-8a5b-4549-9ebb-b6baae0e80d7" targetNamespace="http://schemas.microsoft.com/office/2006/metadata/properties" ma:root="true" ma:fieldsID="e7c4bf4343678d519505dee41f0c18c6" ns1:_="" ns2:_="" ns3:_="">
    <xsd:import namespace="http://schemas.microsoft.com/sharepoint/v3"/>
    <xsd:import namespace="bf3c4443-ebf4-4b21-a429-7b711626884a"/>
    <xsd:import namespace="5630a6f2-8a5b-4549-9ebb-b6baae0e80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3c4443-ebf4-4b21-a429-7b71162688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30a6f2-8a5b-4549-9ebb-b6baae0e80d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CACFC61-03DB-4F95-918D-7BB5AB638B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f3c4443-ebf4-4b21-a429-7b711626884a"/>
    <ds:schemaRef ds:uri="5630a6f2-8a5b-4549-9ebb-b6baae0e80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CF55FAC-5DE2-48A6-ACEF-20E8F8F27B46}">
  <ds:schemaRefs>
    <ds:schemaRef ds:uri="http://purl.org/dc/terms/"/>
    <ds:schemaRef ds:uri="5630a6f2-8a5b-4549-9ebb-b6baae0e80d7"/>
    <ds:schemaRef ds:uri="http://purl.org/dc/dcmitype/"/>
    <ds:schemaRef ds:uri="http://schemas.microsoft.com/sharepoint/v3"/>
    <ds:schemaRef ds:uri="http://schemas.microsoft.com/office/2006/documentManagement/types"/>
    <ds:schemaRef ds:uri="bf3c4443-ebf4-4b21-a429-7b711626884a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77A9BC28-6761-4FA4-888D-C8258493F1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Summary Info</vt:lpstr>
      <vt:lpstr>Study Period kWh</vt:lpstr>
      <vt:lpstr>Customer Size</vt:lpstr>
      <vt:lpstr>kWh Summary All RSs</vt:lpstr>
      <vt:lpstr>EI_Load_Factor</vt:lpstr>
      <vt:lpstr>End_Date</vt:lpstr>
      <vt:lpstr>Expected_2020_17a_LF</vt:lpstr>
      <vt:lpstr>Expected_2020_17b_LF</vt:lpstr>
      <vt:lpstr>KWH_Actual_Monthly</vt:lpstr>
      <vt:lpstr>KWh_Month</vt:lpstr>
      <vt:lpstr>Original_RS</vt:lpstr>
      <vt:lpstr>Rate1_Actuals</vt:lpstr>
      <vt:lpstr>Start_Date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2019-11-13T18:35:52Z</dcterms:created>
  <dcterms:modified xsi:type="dcterms:W3CDTF">2020-02-26T00:17:45Z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0x010100F5E8A4DDA68A38449C74383BD20B03A9</vt:lpwstr>
  </property>
  <property fmtid="{D5CDD505-2E9C-101B-9397-08002B2CF9AE}" pid="3" name="_dlc_DocIdItemGuid">
    <vt:lpwstr>3bee457e-2c1a-4dc5-ac0a-b8983e4befba</vt:lpwstr>
  </property>
</Properties>
</file>