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filterPrivacy="1" codeName="ThisWorkbook" defaultThemeVersion="124226"/>
  <xr:revisionPtr revIDLastSave="36" documentId="14_{31EEBB8B-B791-4AF1-BB2D-F0A5AF9AA02A}" xr6:coauthVersionLast="44" xr6:coauthVersionMax="45" xr10:uidLastSave="{3144C1EF-AC69-4F43-B293-EA14949BCB05}"/>
  <bookViews>
    <workbookView xWindow="-14595" yWindow="-16320" windowWidth="29040" windowHeight="15990" firstSheet="2" activeTab="2" xr2:uid="{734F969B-7103-4557-905C-5AFD91A3BEEA}"/>
  </bookViews>
  <sheets>
    <sheet name="3 Year Graduated -&lt;200kW" sheetId="8" r:id="rId1"/>
    <sheet name="3 Year Graduated - &gt;200 kW" sheetId="7" r:id="rId2"/>
    <sheet name="Rate Components" sheetId="3" r:id="rId3"/>
    <sheet name="Base Energy" sheetId="12" r:id="rId4"/>
    <sheet name="Xmission Acceleration" sheetId="1" r:id="rId5"/>
    <sheet name="Transmission Utilization" sheetId="15" r:id="rId6"/>
    <sheet name="Distribution adder" sheetId="4" r:id="rId7"/>
    <sheet name="Departure Costs a" sheetId="16" r:id="rId8"/>
    <sheet name="Departure Costs b" sheetId="13" r:id="rId9"/>
    <sheet name="Embedded Transmission Rates" sheetId="6" r:id="rId10"/>
    <sheet name="Comparison With Old Rates" sheetId="14" r:id="rId11"/>
    <sheet name="Original RS17 Yearly Components" sheetId="20" r:id="rId12"/>
    <sheet name="COS Plus" sheetId="17" r:id="rId13"/>
    <sheet name="3 Year Graduated - Small" sheetId="18" r:id="rId14"/>
    <sheet name="3 Year Graduated - Large" sheetId="19" r:id="rId15"/>
  </sheets>
  <externalReferences>
    <externalReference r:id="rId16"/>
    <externalReference r:id="rId17"/>
    <externalReference r:id="rId18"/>
    <externalReference r:id="rId19"/>
  </externalReferences>
  <definedNames>
    <definedName name="_d1" localSheetId="12">'[1]TCall Price B-76'!$D$10</definedName>
    <definedName name="_d1">'Xmission Acceleration'!$S$10</definedName>
    <definedName name="_d2" localSheetId="12">'[1]TCall Price B-76'!$D$11</definedName>
    <definedName name="_d2">'Xmission Acceleration'!$S$11</definedName>
    <definedName name="Departure_Loss_Per_MWh_Sold_17a">'Departure Costs a'!$K$11</definedName>
    <definedName name="Departure_Loss_Per_MWh_Sold_17b">'Departure Costs b'!$K$11</definedName>
    <definedName name="Discount_Rate">'Xmission Acceleration'!$E$5</definedName>
    <definedName name="Distribution_Adder_per_MWh">'Distribution adder'!$D$14</definedName>
    <definedName name="EI_Customers_Annual_aMW">'Departure Costs b'!$K$4</definedName>
    <definedName name="EI_Transmissoin_Cost_Dollar_MWh">'Transmission Utilization'!$L$31</definedName>
    <definedName name="Expected_12_Month_Loss_17a">'Departure Costs a'!$AK$18</definedName>
    <definedName name="Expected_12_Month_Loss_17b">'Departure Costs b'!$AK$18</definedName>
    <definedName name="Expected_12_Month_MWh_Loss_17a">'Departure Costs a'!$AJ$18</definedName>
    <definedName name="Expected_12_Month_MWh_Loss_17b">'Departure Costs b'!$AJ$18</definedName>
    <definedName name="F" localSheetId="12">'[1]TCall Price B-76'!$D$4</definedName>
    <definedName name="F">'Xmission Acceleration'!$S$5</definedName>
    <definedName name="Forecast_Retail_MWh_17a">'Departure Costs a'!$U$18</definedName>
    <definedName name="Forecast_Retail_MWh_17b">'Departure Costs b'!$U$18</definedName>
    <definedName name="Initial_Escalator">'Transmission Utilization'!$E$18</definedName>
    <definedName name="Market_Price____MWh">'Xmission Acceleration'!$L$11</definedName>
    <definedName name="model_call" localSheetId="12">'[1]TCall Price B-76'!$D$15</definedName>
    <definedName name="model_call">'Xmission Acceleration'!$S$12</definedName>
    <definedName name="NPV_Base_Date">'Transmission Utilization'!$E$15</definedName>
    <definedName name="Proforma_17a_Customer_Demand">'3 Year Graduated -&lt;200kW'!$N$6</definedName>
    <definedName name="Proforma_17b_Customer_Demand">'3 Year Graduated - &gt;200 kW'!$N$6</definedName>
    <definedName name="Risk_Free_Rate">'Xmission Acceleration'!$S$8</definedName>
    <definedName name="riskfree" localSheetId="12">'[1]TCall Price B-76'!$D$7</definedName>
    <definedName name="riskfree">'Xmission Acceleration'!$S$8</definedName>
    <definedName name="RS17a_Average">'Rate Components'!$G$11</definedName>
    <definedName name="RS17a_Average_Depart" localSheetId="7">'Departure Costs a'!$K$5</definedName>
    <definedName name="RS17a_Base_Energy_Charge">'Base Energy'!$L$5</definedName>
    <definedName name="RS17b_Average">'Rate Components'!$D$11</definedName>
    <definedName name="RS17b_Average_Depart">'Departure Costs b'!$K$5</definedName>
    <definedName name="RS17b_Base_Energy_Charge">'Base Energy'!$L$10</definedName>
    <definedName name="sigma" localSheetId="12">'[1]TCall Price B-76'!$D$8</definedName>
    <definedName name="Sigma">'Xmission Acceleration'!$S$9</definedName>
    <definedName name="Strike_Price____MWh">'Xmission Acceleration'!$L$10</definedName>
    <definedName name="T" localSheetId="12">'[1]TCall Price B-76'!$D$6</definedName>
    <definedName name="T">'Xmission Acceleration'!$S$7</definedName>
    <definedName name="Time_to_Strike__years">'Xmission Acceleration'!$L$12</definedName>
    <definedName name="Total_Expected_Transmission_Cost">'Transmission Utilization'!$AM$14</definedName>
    <definedName name="Transmission_Call_Value_MWh">'Xmission Acceleration'!$L$17</definedName>
    <definedName name="Transmission_Market_Dollar_MWh">'Transmission Utilization'!$L$30</definedName>
    <definedName name="X" localSheetId="12">'[1]TCall Price B-76'!$D$5</definedName>
    <definedName name="X">'Xmission Acceleration'!$S$6</definedName>
    <definedName name="Year_of_Incremental_Transmission_Needed">'Transmission Utilization'!$E$5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5" i="12" l="1"/>
  <c r="Z8" i="20"/>
  <c r="R16" i="20"/>
  <c r="Q16" i="20"/>
  <c r="P16" i="20"/>
  <c r="R15" i="20"/>
  <c r="Q15" i="20"/>
  <c r="P15" i="20"/>
  <c r="R14" i="20"/>
  <c r="Q14" i="20"/>
  <c r="P14" i="20"/>
  <c r="O14" i="20"/>
  <c r="N14" i="20"/>
  <c r="M14" i="20"/>
  <c r="N42" i="7"/>
  <c r="N34" i="7"/>
  <c r="N26" i="7"/>
  <c r="G27" i="8"/>
  <c r="AE16" i="20"/>
  <c r="AD16" i="20"/>
  <c r="AC16" i="20"/>
  <c r="AE15" i="20"/>
  <c r="AD15" i="20"/>
  <c r="AC15" i="20"/>
  <c r="AE14" i="20"/>
  <c r="AD14" i="20"/>
  <c r="AC14" i="20"/>
  <c r="AB14" i="20"/>
  <c r="AA14" i="20"/>
  <c r="Z14" i="20"/>
  <c r="E9" i="20"/>
  <c r="E10" i="20" s="1"/>
  <c r="Q17" i="20" l="1"/>
  <c r="Q18" i="20" s="1"/>
  <c r="R17" i="20"/>
  <c r="R18" i="20" s="1"/>
  <c r="AB15" i="20"/>
  <c r="AB17" i="20" s="1"/>
  <c r="AB18" i="20" s="1"/>
  <c r="O15" i="20"/>
  <c r="O17" i="20" s="1"/>
  <c r="O18" i="20" s="1"/>
  <c r="AD17" i="20"/>
  <c r="AD18" i="20" s="1"/>
  <c r="M15" i="20"/>
  <c r="M17" i="20" s="1"/>
  <c r="M18" i="20" s="1"/>
  <c r="AA15" i="20"/>
  <c r="AA17" i="20" s="1"/>
  <c r="AA18" i="20" s="1"/>
  <c r="AE17" i="20"/>
  <c r="AE18" i="20" s="1"/>
  <c r="Z15" i="20"/>
  <c r="Z17" i="20" s="1"/>
  <c r="Z18" i="20" s="1"/>
  <c r="P17" i="20"/>
  <c r="P18" i="20" s="1"/>
  <c r="N15" i="20"/>
  <c r="N17" i="20" s="1"/>
  <c r="N18" i="20" s="1"/>
  <c r="AC17" i="20"/>
  <c r="AC18" i="20" s="1"/>
  <c r="M45" i="19"/>
  <c r="M43" i="19"/>
  <c r="J40" i="19"/>
  <c r="J41" i="19" s="1"/>
  <c r="M44" i="19" s="1"/>
  <c r="J38" i="19"/>
  <c r="M35" i="19"/>
  <c r="M33" i="19"/>
  <c r="J28" i="19"/>
  <c r="J30" i="19" s="1"/>
  <c r="J31" i="19" s="1"/>
  <c r="M34" i="19" s="1"/>
  <c r="M23" i="19"/>
  <c r="J20" i="19"/>
  <c r="J21" i="19" s="1"/>
  <c r="M24" i="19" s="1"/>
  <c r="J18" i="19"/>
  <c r="M25" i="19" s="1"/>
  <c r="J7" i="19"/>
  <c r="J9" i="19" s="1"/>
  <c r="J10" i="19" s="1"/>
  <c r="N6" i="19"/>
  <c r="N7" i="19" s="1"/>
  <c r="N9" i="19" s="1"/>
  <c r="J6" i="19"/>
  <c r="M41" i="18"/>
  <c r="N41" i="18" s="1"/>
  <c r="M40" i="18"/>
  <c r="N40" i="18" s="1"/>
  <c r="N44" i="18" s="1"/>
  <c r="J40" i="18"/>
  <c r="J41" i="18" s="1"/>
  <c r="J42" i="18" s="1"/>
  <c r="J38" i="18"/>
  <c r="M31" i="18"/>
  <c r="M30" i="18"/>
  <c r="J30" i="18" s="1"/>
  <c r="J28" i="18"/>
  <c r="M20" i="18"/>
  <c r="J20" i="18" s="1"/>
  <c r="J18" i="18"/>
  <c r="M21" i="18" s="1"/>
  <c r="J7" i="18"/>
  <c r="N6" i="18"/>
  <c r="J6" i="18"/>
  <c r="N13" i="19" l="1"/>
  <c r="N44" i="19"/>
  <c r="N25" i="19"/>
  <c r="J43" i="19"/>
  <c r="N34" i="19"/>
  <c r="J33" i="19"/>
  <c r="J34" i="19" s="1"/>
  <c r="J23" i="19"/>
  <c r="J24" i="19" s="1"/>
  <c r="N35" i="19"/>
  <c r="N45" i="19"/>
  <c r="N20" i="18"/>
  <c r="N24" i="18" s="1"/>
  <c r="J21" i="18"/>
  <c r="J31" i="18"/>
  <c r="N31" i="18"/>
  <c r="N21" i="18"/>
  <c r="N30" i="18"/>
  <c r="N34" i="18" s="1"/>
  <c r="N10" i="18"/>
  <c r="N27" i="19" l="1"/>
  <c r="N24" i="19"/>
  <c r="J44" i="19"/>
  <c r="J45" i="19" s="1"/>
  <c r="N43" i="19"/>
  <c r="P18" i="19"/>
  <c r="P17" i="19"/>
  <c r="P16" i="19"/>
  <c r="N16" i="19" s="1"/>
  <c r="N23" i="19"/>
  <c r="N47" i="19"/>
  <c r="N33" i="19"/>
  <c r="N37" i="19" s="1"/>
  <c r="P14" i="18"/>
  <c r="P15" i="18"/>
  <c r="P13" i="18"/>
  <c r="N13" i="18" s="1"/>
  <c r="N17" i="19" l="1"/>
  <c r="J25" i="19"/>
  <c r="N14" i="18"/>
  <c r="J22" i="18"/>
  <c r="J35" i="19" l="1"/>
  <c r="N18" i="19"/>
  <c r="N15" i="18"/>
  <c r="J32" i="18"/>
  <c r="H8" i="17" l="1"/>
  <c r="C8" i="17"/>
  <c r="H12" i="17"/>
  <c r="H10" i="17" l="1"/>
  <c r="C9" i="17" l="1"/>
  <c r="C12" i="17" l="1"/>
  <c r="C10" i="17"/>
  <c r="G5" i="3" l="1"/>
  <c r="D6" i="3"/>
  <c r="G6" i="3"/>
  <c r="D8" i="3"/>
  <c r="G8" i="3"/>
  <c r="AU4" i="14" l="1"/>
  <c r="AU11" i="14"/>
  <c r="D16" i="14"/>
  <c r="D6" i="14"/>
  <c r="E8" i="8"/>
  <c r="U7" i="14" a="1"/>
  <c r="U7" i="14" s="1"/>
  <c r="N7" i="7" s="1"/>
  <c r="K28" i="15"/>
  <c r="AA23" i="15"/>
  <c r="AA17" i="15"/>
  <c r="AA11" i="15"/>
  <c r="S5" i="15"/>
  <c r="T5" i="15" s="1"/>
  <c r="U5" i="15" s="1"/>
  <c r="S11" i="15"/>
  <c r="E5" i="15" a="1"/>
  <c r="E5" i="15" s="1"/>
  <c r="S23" i="15"/>
  <c r="S17" i="15"/>
  <c r="E7" i="15" a="1"/>
  <c r="E7" i="15" s="1"/>
  <c r="E6" i="15" a="1"/>
  <c r="E6" i="15" s="1"/>
  <c r="E4" i="15" a="1"/>
  <c r="E4" i="15" s="1"/>
  <c r="G15" i="7" l="1"/>
  <c r="G7" i="7"/>
  <c r="G23" i="7"/>
  <c r="E18" i="15"/>
  <c r="L30" i="15" s="1"/>
  <c r="L5" i="1" s="1"/>
  <c r="L10" i="1" s="1"/>
  <c r="E6" i="1"/>
  <c r="E4" i="1"/>
  <c r="L12" i="1" s="1"/>
  <c r="K30" i="15"/>
  <c r="U8" i="14"/>
  <c r="U9" i="14" s="1"/>
  <c r="D18" i="15"/>
  <c r="U26" i="15"/>
  <c r="T26" i="15"/>
  <c r="S26" i="15"/>
  <c r="U20" i="15"/>
  <c r="T20" i="15"/>
  <c r="S20" i="15"/>
  <c r="AN47" i="14" l="1"/>
  <c r="S14" i="15" l="1"/>
  <c r="AD22" i="14" l="1"/>
  <c r="AT18" i="16"/>
  <c r="AE17" i="16" s="1"/>
  <c r="AH18" i="16"/>
  <c r="AT17" i="16"/>
  <c r="AE16" i="16" s="1"/>
  <c r="AI17" i="16"/>
  <c r="AB17" i="16"/>
  <c r="S17" i="16"/>
  <c r="T17" i="16" s="1"/>
  <c r="AT16" i="16"/>
  <c r="AE15" i="16" s="1"/>
  <c r="AI16" i="16"/>
  <c r="AB16" i="16"/>
  <c r="S16" i="16"/>
  <c r="T16" i="16" s="1"/>
  <c r="AT15" i="16"/>
  <c r="AE14" i="16" s="1"/>
  <c r="AI15" i="16"/>
  <c r="AB15" i="16"/>
  <c r="S15" i="16"/>
  <c r="T15" i="16" s="1"/>
  <c r="AT14" i="16"/>
  <c r="AE13" i="16" s="1"/>
  <c r="AI14" i="16"/>
  <c r="AB14" i="16"/>
  <c r="S14" i="16"/>
  <c r="T14" i="16" s="1"/>
  <c r="AT13" i="16"/>
  <c r="AE12" i="16" s="1"/>
  <c r="AI13" i="16"/>
  <c r="AB13" i="16"/>
  <c r="S13" i="16"/>
  <c r="T13" i="16" s="1"/>
  <c r="AT12" i="16"/>
  <c r="AE11" i="16" s="1"/>
  <c r="AI12" i="16"/>
  <c r="AB12" i="16"/>
  <c r="S12" i="16"/>
  <c r="T12" i="16" s="1"/>
  <c r="AT11" i="16"/>
  <c r="AE10" i="16" s="1"/>
  <c r="AI11" i="16"/>
  <c r="AB11" i="16"/>
  <c r="S11" i="16"/>
  <c r="T11" i="16" s="1"/>
  <c r="AT10" i="16"/>
  <c r="AE9" i="16" s="1"/>
  <c r="AI10" i="16"/>
  <c r="AB10" i="16"/>
  <c r="S10" i="16"/>
  <c r="T10" i="16" s="1"/>
  <c r="AT9" i="16"/>
  <c r="AE8" i="16" s="1"/>
  <c r="AI9" i="16"/>
  <c r="AB9" i="16"/>
  <c r="S9" i="16"/>
  <c r="T9" i="16" s="1"/>
  <c r="AT8" i="16"/>
  <c r="AE7" i="16" s="1"/>
  <c r="AI8" i="16"/>
  <c r="AB8" i="16"/>
  <c r="S8" i="16"/>
  <c r="T8" i="16" s="1"/>
  <c r="AT7" i="16"/>
  <c r="AI7" i="16"/>
  <c r="AB7" i="16"/>
  <c r="S7" i="16"/>
  <c r="T7" i="16" s="1"/>
  <c r="AI6" i="16"/>
  <c r="AE6" i="16"/>
  <c r="AB6" i="16"/>
  <c r="S6" i="16"/>
  <c r="T6" i="16" s="1"/>
  <c r="S18" i="16" l="1"/>
  <c r="T18" i="16"/>
  <c r="L10" i="12" l="1"/>
  <c r="D7" i="14" s="1"/>
  <c r="AT18" i="13"/>
  <c r="AT7" i="13"/>
  <c r="AE6" i="13" s="1"/>
  <c r="E8" i="15"/>
  <c r="D13" i="4"/>
  <c r="AT8" i="13"/>
  <c r="E9" i="15" l="1"/>
  <c r="AD6" i="8"/>
  <c r="Z31" i="8"/>
  <c r="Z23" i="8"/>
  <c r="Z15" i="8"/>
  <c r="L20" i="14"/>
  <c r="L19" i="14"/>
  <c r="L18" i="14"/>
  <c r="AE6" i="14" l="1"/>
  <c r="AE13" i="14" s="1"/>
  <c r="AF6" i="14"/>
  <c r="AF13" i="14" s="1"/>
  <c r="AD6" i="14"/>
  <c r="AD13" i="14" s="1"/>
  <c r="AD8" i="14"/>
  <c r="N42" i="8"/>
  <c r="AF23" i="14" s="1"/>
  <c r="N34" i="8"/>
  <c r="AE23" i="14" s="1"/>
  <c r="N26" i="8"/>
  <c r="AD23" i="14" s="1"/>
  <c r="N41" i="8"/>
  <c r="P41" i="8" s="1"/>
  <c r="N33" i="8"/>
  <c r="P33" i="8" s="1"/>
  <c r="N25" i="8"/>
  <c r="P25" i="8" s="1"/>
  <c r="AD7" i="14"/>
  <c r="N13" i="8"/>
  <c r="N19" i="8" s="1"/>
  <c r="N43" i="8"/>
  <c r="P43" i="8" s="1"/>
  <c r="M39" i="8"/>
  <c r="N35" i="8"/>
  <c r="P35" i="8" s="1"/>
  <c r="M31" i="8"/>
  <c r="N27" i="8"/>
  <c r="P27" i="8" s="1"/>
  <c r="M23" i="8"/>
  <c r="AB17" i="13"/>
  <c r="AB16" i="13"/>
  <c r="AB15" i="13"/>
  <c r="AB14" i="13"/>
  <c r="AB13" i="13"/>
  <c r="AB12" i="13"/>
  <c r="AB11" i="13"/>
  <c r="AB10" i="13"/>
  <c r="AB9" i="13"/>
  <c r="AB8" i="13"/>
  <c r="AB7" i="13"/>
  <c r="D7" i="4" l="1"/>
  <c r="M11" i="6" l="1"/>
  <c r="L11" i="6"/>
  <c r="K11" i="6"/>
  <c r="J11" i="6"/>
  <c r="I11" i="6"/>
  <c r="H11" i="6"/>
  <c r="G11" i="6"/>
  <c r="F11" i="6"/>
  <c r="E11" i="6"/>
  <c r="M8" i="6"/>
  <c r="L8" i="6"/>
  <c r="K8" i="6"/>
  <c r="J8" i="6"/>
  <c r="I8" i="6"/>
  <c r="H8" i="6"/>
  <c r="G8" i="6"/>
  <c r="F8" i="6"/>
  <c r="S7" i="1"/>
  <c r="E14" i="15"/>
  <c r="L7" i="14" l="1"/>
  <c r="L12" i="14" s="1"/>
  <c r="M7" i="14"/>
  <c r="AO13" i="14" l="1"/>
  <c r="AN13" i="14"/>
  <c r="AM13" i="14"/>
  <c r="V18" i="7"/>
  <c r="AJ6" i="15"/>
  <c r="AK6" i="15"/>
  <c r="AJ7" i="15"/>
  <c r="AK7" i="15"/>
  <c r="AL8" i="15"/>
  <c r="AM8" i="15" s="1"/>
  <c r="AL7" i="15" l="1"/>
  <c r="AM7" i="15" s="1"/>
  <c r="AL6" i="15"/>
  <c r="AM6" i="15" s="1"/>
  <c r="AM14" i="15" l="1"/>
  <c r="AO15" i="14"/>
  <c r="AN15" i="14"/>
  <c r="AM15" i="14"/>
  <c r="AO30" i="14"/>
  <c r="AN30" i="14"/>
  <c r="AM30" i="14"/>
  <c r="AO28" i="14"/>
  <c r="AN28" i="14"/>
  <c r="AM28" i="14"/>
  <c r="AF9" i="14"/>
  <c r="AE9" i="14"/>
  <c r="AD9" i="14"/>
  <c r="AF8" i="14"/>
  <c r="AF15" i="14" s="1"/>
  <c r="AE8" i="14"/>
  <c r="AE15" i="14" s="1"/>
  <c r="AD15" i="14"/>
  <c r="AF24" i="14"/>
  <c r="AF30" i="14" s="1"/>
  <c r="AE24" i="14"/>
  <c r="AE30" i="14" s="1"/>
  <c r="AD24" i="14"/>
  <c r="AD30" i="14" s="1"/>
  <c r="AF22" i="14"/>
  <c r="AF28" i="14" s="1"/>
  <c r="AE22" i="14"/>
  <c r="AE28" i="14" s="1"/>
  <c r="AD28" i="14"/>
  <c r="K16" i="14" l="1"/>
  <c r="K22" i="14" s="1"/>
  <c r="L16" i="14"/>
  <c r="L6" i="14"/>
  <c r="M16" i="14"/>
  <c r="E12" i="15"/>
  <c r="AM14" i="14"/>
  <c r="AM17" i="14" s="1"/>
  <c r="AN14" i="14"/>
  <c r="AN17" i="14" s="1"/>
  <c r="AO14" i="14"/>
  <c r="AO17" i="14" s="1"/>
  <c r="AD14" i="14"/>
  <c r="AD17" i="14" s="1"/>
  <c r="K6" i="14"/>
  <c r="M6" i="14"/>
  <c r="V12" i="15" l="1"/>
  <c r="AA12" i="15" s="1"/>
  <c r="E23" i="15"/>
  <c r="V18" i="15" s="1"/>
  <c r="E13" i="15"/>
  <c r="E17" i="15" s="1"/>
  <c r="V13" i="15" s="1"/>
  <c r="T14" i="15"/>
  <c r="AN16" i="14"/>
  <c r="AN18" i="14"/>
  <c r="AV7" i="14" s="1"/>
  <c r="AO16" i="14"/>
  <c r="AO18" i="14"/>
  <c r="AV8" i="14" s="1"/>
  <c r="AM16" i="14"/>
  <c r="AM18" i="14"/>
  <c r="AV6" i="14" s="1"/>
  <c r="AD18" i="14"/>
  <c r="AW6" i="14" s="1"/>
  <c r="AX6" i="14" s="1"/>
  <c r="AY6" i="14" s="1"/>
  <c r="AD16" i="14"/>
  <c r="W18" i="15" l="1"/>
  <c r="X18" i="15" s="1"/>
  <c r="V19" i="15"/>
  <c r="W13" i="15"/>
  <c r="W19" i="15" s="1"/>
  <c r="U14" i="15"/>
  <c r="W20" i="15" l="1"/>
  <c r="Y18" i="15"/>
  <c r="Z18" i="15" s="1"/>
  <c r="V14" i="15"/>
  <c r="AA18" i="15" l="1"/>
  <c r="X13" i="15"/>
  <c r="W14" i="15"/>
  <c r="AI7" i="13"/>
  <c r="AI8" i="13"/>
  <c r="AI9" i="13"/>
  <c r="AI10" i="13"/>
  <c r="AI11" i="13"/>
  <c r="AI12" i="13"/>
  <c r="AI13" i="13"/>
  <c r="AI14" i="13"/>
  <c r="AI15" i="13"/>
  <c r="AI16" i="13"/>
  <c r="AI17" i="13"/>
  <c r="AI6" i="13"/>
  <c r="AH18" i="13"/>
  <c r="AB6" i="13"/>
  <c r="S17" i="13"/>
  <c r="T17" i="13" s="1"/>
  <c r="S16" i="13"/>
  <c r="T16" i="13" s="1"/>
  <c r="S15" i="13"/>
  <c r="T15" i="13" s="1"/>
  <c r="S14" i="13"/>
  <c r="T14" i="13" s="1"/>
  <c r="S13" i="13"/>
  <c r="T13" i="13" s="1"/>
  <c r="S12" i="13"/>
  <c r="T12" i="13" s="1"/>
  <c r="S11" i="13"/>
  <c r="T11" i="13" s="1"/>
  <c r="S10" i="13"/>
  <c r="T10" i="13" s="1"/>
  <c r="S9" i="13"/>
  <c r="T9" i="13" s="1"/>
  <c r="S8" i="13"/>
  <c r="T8" i="13" s="1"/>
  <c r="S7" i="13"/>
  <c r="T7" i="13" s="1"/>
  <c r="S6" i="13"/>
  <c r="AE17" i="13"/>
  <c r="AT17" i="13"/>
  <c r="AT16" i="13"/>
  <c r="AT15" i="13"/>
  <c r="AE14" i="13" s="1"/>
  <c r="AT14" i="13"/>
  <c r="AT13" i="13"/>
  <c r="AT12" i="13"/>
  <c r="AT11" i="13"/>
  <c r="AE10" i="13" s="1"/>
  <c r="AT10" i="13"/>
  <c r="AT9" i="13"/>
  <c r="X19" i="15" l="1"/>
  <c r="V20" i="15"/>
  <c r="Y13" i="15"/>
  <c r="Y19" i="15" s="1"/>
  <c r="Y20" i="15" s="1"/>
  <c r="T6" i="13"/>
  <c r="T18" i="13" s="1"/>
  <c r="S18" i="13"/>
  <c r="X14" i="15"/>
  <c r="AE13" i="13"/>
  <c r="AE9" i="13"/>
  <c r="AE16" i="13"/>
  <c r="AE12" i="13"/>
  <c r="AE8" i="13"/>
  <c r="AE15" i="13"/>
  <c r="AE11" i="13"/>
  <c r="AE7" i="13"/>
  <c r="X20" i="15" l="1"/>
  <c r="Z13" i="15"/>
  <c r="AA13" i="15" s="1"/>
  <c r="Y14" i="15"/>
  <c r="Z19" i="15" l="1"/>
  <c r="AA19" i="15" s="1"/>
  <c r="Z14" i="15"/>
  <c r="AA14" i="15" s="1"/>
  <c r="Z20" i="15" l="1"/>
  <c r="AA20" i="15" s="1"/>
  <c r="D17" i="14"/>
  <c r="L17" i="14" l="1"/>
  <c r="L22" i="14" s="1"/>
  <c r="M17" i="14"/>
  <c r="K12" i="14"/>
  <c r="D8" i="4" l="1"/>
  <c r="D14" i="4" s="1"/>
  <c r="M19" i="14" l="1"/>
  <c r="D19" i="14"/>
  <c r="M9" i="14"/>
  <c r="D9" i="14"/>
  <c r="D24" i="7" l="1"/>
  <c r="D22" i="7"/>
  <c r="D16" i="7"/>
  <c r="D14" i="7"/>
  <c r="D8" i="7"/>
  <c r="D6" i="7"/>
  <c r="G6" i="7"/>
  <c r="G8" i="7" s="1"/>
  <c r="G9" i="7" s="1"/>
  <c r="G14" i="7"/>
  <c r="G16" i="7" s="1"/>
  <c r="G17" i="7" s="1"/>
  <c r="G22" i="7"/>
  <c r="G24" i="7" s="1"/>
  <c r="G25" i="7" s="1"/>
  <c r="G18" i="7" l="1"/>
  <c r="G19" i="7" s="1"/>
  <c r="G26" i="7"/>
  <c r="G27" i="7" s="1"/>
  <c r="G10" i="7"/>
  <c r="G11" i="7" s="1"/>
  <c r="X41" i="7" l="1"/>
  <c r="N33" i="7"/>
  <c r="AE7" i="14"/>
  <c r="AE14" i="14" s="1"/>
  <c r="AE17" i="14" s="1"/>
  <c r="N27" i="7"/>
  <c r="P27" i="7" s="1"/>
  <c r="N25" i="7"/>
  <c r="AE16" i="14" l="1"/>
  <c r="AE18" i="14"/>
  <c r="AW7" i="14" s="1"/>
  <c r="AX7" i="14" s="1"/>
  <c r="AY7" i="14" s="1"/>
  <c r="P33" i="7"/>
  <c r="X7" i="7"/>
  <c r="X8" i="7" s="1"/>
  <c r="X9" i="7" s="1"/>
  <c r="X10" i="7" s="1"/>
  <c r="X12" i="7" s="1"/>
  <c r="V16" i="7" l="1"/>
  <c r="M39" i="7"/>
  <c r="M31" i="7"/>
  <c r="M23" i="7"/>
  <c r="N19" i="7"/>
  <c r="N43" i="7" l="1"/>
  <c r="P43" i="7" s="1"/>
  <c r="AF7" i="14"/>
  <c r="AF14" i="14" s="1"/>
  <c r="AF17" i="14" s="1"/>
  <c r="N41" i="7"/>
  <c r="N35" i="7"/>
  <c r="P25" i="7"/>
  <c r="X33" i="7"/>
  <c r="X25" i="7"/>
  <c r="AF18" i="14" l="1"/>
  <c r="AW8" i="14" s="1"/>
  <c r="AX8" i="14" s="1"/>
  <c r="AY8" i="14" s="1"/>
  <c r="AF16" i="14"/>
  <c r="P35" i="7"/>
  <c r="P41" i="7"/>
  <c r="AC33" i="8"/>
  <c r="AC34" i="8"/>
  <c r="AC25" i="8"/>
  <c r="AC26" i="8"/>
  <c r="AC17" i="8"/>
  <c r="AC18" i="8"/>
  <c r="AD8" i="8"/>
  <c r="Z9" i="8"/>
  <c r="Z10" i="8" s="1"/>
  <c r="X43" i="7"/>
  <c r="N8" i="7"/>
  <c r="N9" i="7" s="1"/>
  <c r="Z33" i="8" l="1"/>
  <c r="Z34" i="8" s="1"/>
  <c r="P34" i="7"/>
  <c r="P26" i="7"/>
  <c r="P42" i="7"/>
  <c r="X27" i="7"/>
  <c r="X35" i="7"/>
  <c r="X42" i="7"/>
  <c r="Z17" i="8"/>
  <c r="Z25" i="8"/>
  <c r="Z26" i="8" s="1"/>
  <c r="AD12" i="8"/>
  <c r="Z35" i="8" l="1"/>
  <c r="AD33" i="8"/>
  <c r="AD36" i="8" s="1"/>
  <c r="AD34" i="8"/>
  <c r="AD26" i="8"/>
  <c r="AD25" i="8"/>
  <c r="AD28" i="8" s="1"/>
  <c r="X44" i="7"/>
  <c r="X45" i="7" s="1"/>
  <c r="P44" i="7"/>
  <c r="P45" i="7" s="1"/>
  <c r="P36" i="7"/>
  <c r="P37" i="7" s="1"/>
  <c r="X34" i="7"/>
  <c r="X36" i="7" s="1"/>
  <c r="X37" i="7" s="1"/>
  <c r="X26" i="7"/>
  <c r="X28" i="7" s="1"/>
  <c r="X29" i="7" s="1"/>
  <c r="P28" i="7"/>
  <c r="P29" i="7" s="1"/>
  <c r="D41" i="7" s="1"/>
  <c r="Y42" i="8"/>
  <c r="Y41" i="8"/>
  <c r="Y40" i="8"/>
  <c r="W40" i="8" s="1"/>
  <c r="Z18" i="8"/>
  <c r="AD17" i="8"/>
  <c r="AD20" i="8" s="1"/>
  <c r="AD18" i="8"/>
  <c r="W41" i="8" l="1"/>
  <c r="Z19" i="8"/>
  <c r="W42" i="8" l="1"/>
  <c r="Z27" i="8"/>
  <c r="S6" i="15" l="1"/>
  <c r="T6" i="15" l="1"/>
  <c r="S6" i="1" l="1"/>
  <c r="K4" i="16" l="1"/>
  <c r="V7" i="14" a="1"/>
  <c r="V7" i="14" s="1"/>
  <c r="K4" i="13"/>
  <c r="U6" i="13" s="1"/>
  <c r="P2" i="13"/>
  <c r="U12" i="13" l="1"/>
  <c r="U13" i="13"/>
  <c r="U8" i="13"/>
  <c r="V8" i="13" s="1"/>
  <c r="U9" i="13"/>
  <c r="V9" i="13" s="1"/>
  <c r="U16" i="13"/>
  <c r="V16" i="13" s="1"/>
  <c r="U17" i="13"/>
  <c r="AD16" i="13" s="1"/>
  <c r="U10" i="13"/>
  <c r="V10" i="13" s="1"/>
  <c r="U7" i="13"/>
  <c r="V7" i="13" s="1"/>
  <c r="U15" i="13"/>
  <c r="V15" i="13" s="1"/>
  <c r="U14" i="13"/>
  <c r="U11" i="13"/>
  <c r="V11" i="13" s="1"/>
  <c r="V8" i="14"/>
  <c r="V9" i="14" s="1"/>
  <c r="AF29" i="14" s="1"/>
  <c r="AF31" i="14" s="1"/>
  <c r="AF32" i="14" s="1"/>
  <c r="AW15" i="14" s="1"/>
  <c r="W7" i="14"/>
  <c r="N8" i="8"/>
  <c r="N9" i="8" s="1"/>
  <c r="V13" i="13"/>
  <c r="V6" i="13"/>
  <c r="V12" i="13"/>
  <c r="U6" i="16"/>
  <c r="V6" i="16" s="1"/>
  <c r="U9" i="16"/>
  <c r="U17" i="16"/>
  <c r="AD17" i="16" s="1"/>
  <c r="U7" i="16"/>
  <c r="U16" i="16"/>
  <c r="U12" i="16"/>
  <c r="U8" i="16"/>
  <c r="V8" i="16" s="1"/>
  <c r="U11" i="16"/>
  <c r="U15" i="16"/>
  <c r="V15" i="16" s="1"/>
  <c r="U10" i="16"/>
  <c r="V10" i="16" s="1"/>
  <c r="U13" i="16"/>
  <c r="V13" i="16" s="1"/>
  <c r="U14" i="16"/>
  <c r="P2" i="16"/>
  <c r="U18" i="13" l="1"/>
  <c r="V17" i="13"/>
  <c r="AC17" i="13" s="1"/>
  <c r="AD17" i="13"/>
  <c r="AF17" i="13" s="1"/>
  <c r="AG17" i="13" s="1"/>
  <c r="AK17" i="13" s="1"/>
  <c r="AC15" i="13"/>
  <c r="AD15" i="13"/>
  <c r="AF15" i="13" s="1"/>
  <c r="AD10" i="13"/>
  <c r="AF10" i="13" s="1"/>
  <c r="AD14" i="13"/>
  <c r="AF14" i="13" s="1"/>
  <c r="AD6" i="13"/>
  <c r="AJ6" i="13" s="1"/>
  <c r="V14" i="13"/>
  <c r="AD8" i="13"/>
  <c r="AF8" i="13" s="1"/>
  <c r="AD7" i="13"/>
  <c r="AJ7" i="13" s="1"/>
  <c r="AD9" i="13"/>
  <c r="AF9" i="13" s="1"/>
  <c r="AD12" i="13"/>
  <c r="AF12" i="13" s="1"/>
  <c r="AD11" i="13"/>
  <c r="AJ11" i="13" s="1"/>
  <c r="AD13" i="13"/>
  <c r="AJ13" i="13" s="1"/>
  <c r="AE29" i="14"/>
  <c r="AE31" i="14" s="1"/>
  <c r="AE32" i="14" s="1"/>
  <c r="AW14" i="14" s="1"/>
  <c r="AD29" i="14"/>
  <c r="AD31" i="14" s="1"/>
  <c r="AD32" i="14" s="1"/>
  <c r="AW13" i="14" s="1"/>
  <c r="P26" i="8"/>
  <c r="P28" i="8" s="1"/>
  <c r="P29" i="8" s="1"/>
  <c r="P42" i="8"/>
  <c r="P44" i="8" s="1"/>
  <c r="P45" i="8" s="1"/>
  <c r="P34" i="8"/>
  <c r="P36" i="8" s="1"/>
  <c r="P37" i="8" s="1"/>
  <c r="W8" i="14"/>
  <c r="W9" i="14" s="1"/>
  <c r="AC16" i="13"/>
  <c r="AF11" i="13"/>
  <c r="AJ10" i="13"/>
  <c r="AF16" i="13"/>
  <c r="AJ16" i="13"/>
  <c r="AD16" i="16"/>
  <c r="AF16" i="16" s="1"/>
  <c r="AD14" i="16"/>
  <c r="AF14" i="16" s="1"/>
  <c r="AD11" i="16"/>
  <c r="AF11" i="16" s="1"/>
  <c r="V16" i="16"/>
  <c r="AD9" i="16"/>
  <c r="AF9" i="16" s="1"/>
  <c r="AD8" i="16"/>
  <c r="AF8" i="16" s="1"/>
  <c r="AD7" i="16"/>
  <c r="AF7" i="16" s="1"/>
  <c r="AD12" i="16"/>
  <c r="AJ12" i="16" s="1"/>
  <c r="V17" i="16"/>
  <c r="AC17" i="16" s="1"/>
  <c r="AF17" i="16"/>
  <c r="AJ17" i="16"/>
  <c r="V14" i="16"/>
  <c r="AD15" i="16"/>
  <c r="V11" i="16"/>
  <c r="V7" i="16"/>
  <c r="U18" i="16"/>
  <c r="AD6" i="16"/>
  <c r="AD13" i="16"/>
  <c r="AD10" i="16"/>
  <c r="V12" i="16"/>
  <c r="V9" i="16"/>
  <c r="AF7" i="13" l="1"/>
  <c r="AJ17" i="13"/>
  <c r="AJ8" i="13"/>
  <c r="AC10" i="13"/>
  <c r="AG10" i="13" s="1"/>
  <c r="AK10" i="13" s="1"/>
  <c r="AC12" i="13"/>
  <c r="AG15" i="13"/>
  <c r="AK15" i="13" s="1"/>
  <c r="AJ15" i="13"/>
  <c r="V18" i="13"/>
  <c r="AG12" i="13"/>
  <c r="AK12" i="13" s="1"/>
  <c r="AC14" i="13"/>
  <c r="AG14" i="13" s="1"/>
  <c r="AK14" i="13" s="1"/>
  <c r="AJ14" i="13"/>
  <c r="AG16" i="13"/>
  <c r="AK16" i="13" s="1"/>
  <c r="AF13" i="13"/>
  <c r="AC7" i="13"/>
  <c r="AG7" i="13" s="1"/>
  <c r="AK7" i="13" s="1"/>
  <c r="AC6" i="13"/>
  <c r="AC11" i="13"/>
  <c r="AG11" i="13" s="1"/>
  <c r="AK11" i="13" s="1"/>
  <c r="AJ16" i="16"/>
  <c r="AC9" i="13"/>
  <c r="AG9" i="13" s="1"/>
  <c r="AK9" i="13" s="1"/>
  <c r="AJ12" i="13"/>
  <c r="AJ9" i="13"/>
  <c r="AF6" i="13"/>
  <c r="AC13" i="13"/>
  <c r="AG13" i="13" s="1"/>
  <c r="AK13" i="13" s="1"/>
  <c r="AC8" i="13"/>
  <c r="AG8" i="13" s="1"/>
  <c r="AK8" i="13" s="1"/>
  <c r="AO29" i="14"/>
  <c r="AO31" i="14" s="1"/>
  <c r="AO32" i="14" s="1"/>
  <c r="AV15" i="14" s="1"/>
  <c r="AX15" i="14" s="1"/>
  <c r="AY15" i="14" s="1"/>
  <c r="AN29" i="14"/>
  <c r="AN31" i="14" s="1"/>
  <c r="AN32" i="14" s="1"/>
  <c r="AV14" i="14" s="1"/>
  <c r="AX14" i="14" s="1"/>
  <c r="AY14" i="14" s="1"/>
  <c r="AM29" i="14"/>
  <c r="AM31" i="14" s="1"/>
  <c r="AM32" i="14" s="1"/>
  <c r="AV13" i="14" s="1"/>
  <c r="AX13" i="14" s="1"/>
  <c r="AY13" i="14" s="1"/>
  <c r="AJ8" i="16"/>
  <c r="AJ14" i="16"/>
  <c r="AC12" i="16"/>
  <c r="AC14" i="16"/>
  <c r="AG14" i="16" s="1"/>
  <c r="AK14" i="16" s="1"/>
  <c r="AF12" i="16"/>
  <c r="AJ7" i="16"/>
  <c r="AJ11" i="16"/>
  <c r="AJ9" i="16"/>
  <c r="V18" i="16"/>
  <c r="AC9" i="16"/>
  <c r="AG9" i="16" s="1"/>
  <c r="AK9" i="16" s="1"/>
  <c r="AC11" i="16"/>
  <c r="AG17" i="16"/>
  <c r="AK17" i="16" s="1"/>
  <c r="AC15" i="16"/>
  <c r="AC16" i="16"/>
  <c r="AG16" i="16" s="1"/>
  <c r="AK16" i="16" s="1"/>
  <c r="AJ6" i="16"/>
  <c r="AF6" i="16"/>
  <c r="AJ15" i="16"/>
  <c r="AF15" i="16"/>
  <c r="AC6" i="16"/>
  <c r="AF13" i="16"/>
  <c r="AJ13" i="16"/>
  <c r="AC8" i="16"/>
  <c r="AG8" i="16" s="1"/>
  <c r="AK8" i="16" s="1"/>
  <c r="AG11" i="16"/>
  <c r="AK11" i="16" s="1"/>
  <c r="AJ10" i="16"/>
  <c r="AF10" i="16"/>
  <c r="AC7" i="16"/>
  <c r="AG7" i="16" s="1"/>
  <c r="AK7" i="16" s="1"/>
  <c r="AC10" i="16"/>
  <c r="AC13" i="16"/>
  <c r="AJ18" i="13" l="1"/>
  <c r="K10" i="13" s="1"/>
  <c r="AG6" i="13"/>
  <c r="AK6" i="13" s="1"/>
  <c r="AK18" i="13" s="1"/>
  <c r="K9" i="13" s="1"/>
  <c r="K11" i="13" s="1"/>
  <c r="AG12" i="16"/>
  <c r="AK12" i="16" s="1"/>
  <c r="AG15" i="16"/>
  <c r="AK15" i="16" s="1"/>
  <c r="AG13" i="16"/>
  <c r="AK13" i="16" s="1"/>
  <c r="AG10" i="16"/>
  <c r="AK10" i="16" s="1"/>
  <c r="AG6" i="16"/>
  <c r="AK6" i="16" s="1"/>
  <c r="AJ18" i="16"/>
  <c r="K10" i="16" s="1" a="1"/>
  <c r="K10" i="16" s="1"/>
  <c r="D9" i="3" l="1"/>
  <c r="M10" i="14" s="1"/>
  <c r="AK18" i="16"/>
  <c r="K9" i="16" s="1"/>
  <c r="D10" i="14" l="1"/>
  <c r="K11" i="16"/>
  <c r="G9" i="3" s="1"/>
  <c r="D20" i="14" l="1"/>
  <c r="M20" i="14"/>
  <c r="V5" i="15" l="1"/>
  <c r="V29" i="15" s="1"/>
  <c r="U23" i="15"/>
  <c r="U29" i="15"/>
  <c r="U11" i="15"/>
  <c r="U17" i="15"/>
  <c r="T17" i="15"/>
  <c r="T29" i="15"/>
  <c r="T23" i="15"/>
  <c r="T11" i="15"/>
  <c r="V17" i="15" l="1"/>
  <c r="V23" i="15"/>
  <c r="V11" i="15"/>
  <c r="W5" i="15"/>
  <c r="W23" i="15" s="1"/>
  <c r="W29" i="15" l="1"/>
  <c r="W11" i="15"/>
  <c r="X5" i="15"/>
  <c r="W17" i="15"/>
  <c r="X17" i="15" l="1"/>
  <c r="X23" i="15"/>
  <c r="X29" i="15"/>
  <c r="X11" i="15"/>
  <c r="Y5" i="15"/>
  <c r="Z5" i="15" s="1"/>
  <c r="K10" i="15" s="1"/>
  <c r="I2" i="15" l="1"/>
  <c r="Y29" i="15"/>
  <c r="Y17" i="15"/>
  <c r="Y23" i="15"/>
  <c r="Y11" i="15"/>
  <c r="Z23" i="15"/>
  <c r="Z11" i="15"/>
  <c r="Z17" i="15"/>
  <c r="L13" i="15"/>
  <c r="L12" i="15"/>
  <c r="L18" i="15"/>
  <c r="L19" i="15"/>
  <c r="L14" i="15" l="1"/>
  <c r="E24" i="15"/>
  <c r="L20" i="15"/>
  <c r="S7" i="15" l="1"/>
  <c r="S8" i="15" l="1"/>
  <c r="Y7" i="15" l="1"/>
  <c r="Z7" i="15" l="1"/>
  <c r="T7" i="15" l="1"/>
  <c r="T8" i="15" l="1"/>
  <c r="V7" i="15" l="1"/>
  <c r="U7" i="15" l="1"/>
  <c r="W7" i="15" l="1"/>
  <c r="V6" i="15"/>
  <c r="V8" i="15" s="1"/>
  <c r="U6" i="15"/>
  <c r="X7" i="15"/>
  <c r="AA7" i="15" s="1"/>
  <c r="X6" i="15" l="1"/>
  <c r="U8" i="15"/>
  <c r="V24" i="15"/>
  <c r="V25" i="15"/>
  <c r="L7" i="15"/>
  <c r="W6" i="15"/>
  <c r="Y6" i="15"/>
  <c r="Y8" i="15" l="1"/>
  <c r="Y25" i="15" s="1"/>
  <c r="X8" i="15"/>
  <c r="X25" i="15" s="1"/>
  <c r="W8" i="15"/>
  <c r="W25" i="15" s="1"/>
  <c r="V26" i="15"/>
  <c r="Z6" i="15"/>
  <c r="X24" i="15" l="1"/>
  <c r="X26" i="15" s="1"/>
  <c r="W24" i="15"/>
  <c r="W26" i="15" s="1"/>
  <c r="Y24" i="15"/>
  <c r="Y26" i="15" s="1"/>
  <c r="AA6" i="15"/>
  <c r="Z8" i="15"/>
  <c r="L6" i="15"/>
  <c r="L8" i="15" s="1"/>
  <c r="Z24" i="15" l="1"/>
  <c r="Z25" i="15"/>
  <c r="AA8" i="15"/>
  <c r="L25" i="15" l="1"/>
  <c r="L31" i="15" s="1"/>
  <c r="AA25" i="15"/>
  <c r="Z26" i="15"/>
  <c r="AA26" i="15" s="1"/>
  <c r="L24" i="15"/>
  <c r="AA24" i="15"/>
  <c r="L26" i="15" l="1"/>
  <c r="L32" i="15"/>
  <c r="L6" i="1"/>
  <c r="L11" i="1" l="1"/>
  <c r="S5" i="1" s="1"/>
  <c r="L7" i="1"/>
  <c r="L15" i="1" s="1"/>
  <c r="S10" i="1" l="1"/>
  <c r="S11" i="1" s="1"/>
  <c r="S12" i="1" l="1"/>
  <c r="L17" i="1" s="1"/>
  <c r="G7" i="3" l="1"/>
  <c r="G10" i="3" s="1"/>
  <c r="G11" i="3" s="1"/>
  <c r="D7" i="3"/>
  <c r="D10" i="3" s="1"/>
  <c r="D11" i="3" s="1"/>
  <c r="F40" i="7" s="1"/>
  <c r="L16" i="1"/>
  <c r="E40" i="7" l="1"/>
  <c r="E41" i="7" s="1"/>
  <c r="F41" i="7"/>
  <c r="D18" i="14"/>
  <c r="M18" i="14"/>
  <c r="M8" i="14"/>
  <c r="D8" i="14"/>
  <c r="M11" i="14" l="1"/>
  <c r="M12" i="14" s="1"/>
  <c r="D11" i="14"/>
  <c r="D12" i="14" s="1"/>
  <c r="M21" i="14"/>
  <c r="M22" i="14" s="1"/>
  <c r="D21" i="14"/>
  <c r="D22" i="14" s="1"/>
  <c r="AO45" i="14" l="1"/>
  <c r="AN45" i="14" s="1"/>
  <c r="K6" i="16"/>
  <c r="K7" i="16" s="1"/>
  <c r="G7" i="8"/>
  <c r="G43" i="8" s="1"/>
  <c r="AG36" i="14"/>
  <c r="AG37" i="14"/>
  <c r="K6" i="13"/>
  <c r="K7" i="13" s="1"/>
  <c r="AO43" i="14"/>
  <c r="AN43" i="14" s="1"/>
  <c r="AN48" i="14" s="1"/>
  <c r="G8" i="8" l="1"/>
  <c r="F7" i="8"/>
  <c r="G35" i="8" s="1"/>
  <c r="N12" i="8"/>
  <c r="N14" i="8" s="1"/>
  <c r="N15" i="8" s="1"/>
  <c r="N20" i="8" s="1"/>
  <c r="N12" i="7"/>
  <c r="N14" i="7" s="1"/>
  <c r="N15" i="7" s="1"/>
  <c r="N20" i="7" s="1"/>
  <c r="N21" i="7" l="1"/>
  <c r="O21" i="7" s="1"/>
  <c r="O20" i="7"/>
  <c r="O20" i="8"/>
  <c r="N21" i="8"/>
  <c r="O21" i="8" s="1"/>
  <c r="F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P29" authorId="0" shapeId="0" xr:uid="{B228FC71-8B81-4FE5-BC99-0C3CAECEC72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Goal Seek to make this equal to the target overall rate by changing energy component of this period - cell D21</t>
        </r>
      </text>
    </comment>
    <comment ref="P37" authorId="0" shapeId="0" xr:uid="{D074EF79-E249-4404-906A-CBFA100E9B3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Goal Seek to make this equal to the target overall rate by changing energy component of this period - cell D31</t>
        </r>
      </text>
    </comment>
    <comment ref="P45" authorId="0" shapeId="0" xr:uid="{84C4C179-99D5-406A-B717-5F5EEDB1C09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Goal Seek to make this equal to the target overall rate by changing energy component of this period - cell D41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X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 the original spreadsheet the values were not rounded.</t>
        </r>
      </text>
    </comment>
    <comment ref="P29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Goal Seek to make this equal to the target overall rate by changing energy component of this period - cell D21</t>
        </r>
      </text>
    </comment>
    <comment ref="P3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Goal Seek to make this equal to the target overall rate by changing energy component of this period - cell D31</t>
        </r>
      </text>
    </comment>
    <comment ref="P45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Goal Seek to make this equal to the target overall rate by changing energy component of this period - cell D41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H6" authorId="0" shapeId="0" xr:uid="{DE75DA11-6293-40FA-9C7F-2B189804100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probability the Grand Coulee project is chosen</t>
        </r>
      </text>
    </comment>
    <comment ref="AH7" authorId="0" shapeId="0" xr:uid="{B7E624E5-8E55-44C3-BE02-662630237C7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Probability Mountain View project is chosen</t>
        </r>
      </text>
    </comment>
    <comment ref="AH8" authorId="0" shapeId="0" xr:uid="{A2680849-0577-4570-A34C-D3738B688AB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Probability Mountain View project is chosen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<sst xmlns="http://schemas.openxmlformats.org/spreadsheetml/2006/main" count="1163" uniqueCount="382">
  <si>
    <t>Proposed for 2019 Update</t>
  </si>
  <si>
    <t>Original and Proposed Average RS17a Rate per kWh</t>
  </si>
  <si>
    <t>Original RS17 Calculations</t>
  </si>
  <si>
    <t>Pro-forma RS17 Customer Profile</t>
  </si>
  <si>
    <t>Component</t>
  </si>
  <si>
    <t>Amount</t>
  </si>
  <si>
    <t>Units</t>
  </si>
  <si>
    <t>2018 Rate Schedule 1</t>
  </si>
  <si>
    <t>Customer Profile - Stabilized</t>
  </si>
  <si>
    <t>Original</t>
  </si>
  <si>
    <t>Demand</t>
  </si>
  <si>
    <t>kW</t>
  </si>
  <si>
    <t>Customer Profile</t>
  </si>
  <si>
    <t>kWhs - Monthly Avg</t>
  </si>
  <si>
    <t>New</t>
  </si>
  <si>
    <t>Load Factor</t>
  </si>
  <si>
    <t>Basic</t>
  </si>
  <si>
    <t>per day</t>
  </si>
  <si>
    <t>Difference</t>
  </si>
  <si>
    <t>Annual Energy</t>
  </si>
  <si>
    <t>kWh</t>
  </si>
  <si>
    <t>Energy</t>
  </si>
  <si>
    <t>per kWh</t>
  </si>
  <si>
    <t>Bill - Monthly Avg</t>
  </si>
  <si>
    <t>Monthly Energy</t>
  </si>
  <si>
    <t>Avg $/kWh</t>
  </si>
  <si>
    <t>Average Cost/kWh of Pro-forma Customer</t>
  </si>
  <si>
    <t>Effective 4/1/2020</t>
  </si>
  <si>
    <t>Target Rate</t>
  </si>
  <si>
    <t>Effective  4/1/2019</t>
  </si>
  <si>
    <t>Current Rate</t>
  </si>
  <si>
    <t>Remaining Difference</t>
  </si>
  <si>
    <t>Customer Profile - Year 1</t>
  </si>
  <si>
    <t>Yearly Increment</t>
  </si>
  <si>
    <t>3 Year Graduated</t>
  </si>
  <si>
    <t>Year on Year</t>
  </si>
  <si>
    <t>Year</t>
  </si>
  <si>
    <t>Overall Rate*</t>
  </si>
  <si>
    <t>Increase</t>
  </si>
  <si>
    <t>2019**</t>
  </si>
  <si>
    <t>n/a</t>
  </si>
  <si>
    <t>Total Fixed</t>
  </si>
  <si>
    <t>Customer Profile - Year 2</t>
  </si>
  <si>
    <t>Determinant</t>
  </si>
  <si>
    <t>Billing Rate</t>
  </si>
  <si>
    <t>Bill</t>
  </si>
  <si>
    <t>Basic Charge</t>
  </si>
  <si>
    <t>Error</t>
  </si>
  <si>
    <t>per kW Bill Demand</t>
  </si>
  <si>
    <t>Total</t>
  </si>
  <si>
    <t>per kWh*</t>
  </si>
  <si>
    <t>Customer Profile - Year 3</t>
  </si>
  <si>
    <t>Scenario 3</t>
  </si>
  <si>
    <t>Year 1</t>
  </si>
  <si>
    <t>Year 2</t>
  </si>
  <si>
    <t>Year 3</t>
  </si>
  <si>
    <t>*To calculate see note on overall per kWh for each year</t>
  </si>
  <si>
    <t>**Actual cost/kWh based on 8891 approved rate and pro-forma customer</t>
  </si>
  <si>
    <t>Calculation Area - Use Goal Seek to set per kWh to attain target average $/kWh</t>
  </si>
  <si>
    <t>Proposed for RS17b for 2019 Update</t>
  </si>
  <si>
    <t>Original per Resolution 8891</t>
  </si>
  <si>
    <t>Rate Schedule 7 as of 4/1/2018</t>
  </si>
  <si>
    <t>Pro-forma Customer</t>
  </si>
  <si>
    <t>Calculated Energy Charge 2019</t>
  </si>
  <si>
    <t>Customer Profile - 2019</t>
  </si>
  <si>
    <t>/mo</t>
  </si>
  <si>
    <t>Billing Demand</t>
  </si>
  <si>
    <t>per month</t>
  </si>
  <si>
    <t>Energy I</t>
  </si>
  <si>
    <t>/kWh - 1st 50,000</t>
  </si>
  <si>
    <t>Energy II</t>
  </si>
  <si>
    <t>/kWh</t>
  </si>
  <si>
    <t>kWhs - Annual</t>
  </si>
  <si>
    <t>per kW Billing Demand</t>
  </si>
  <si>
    <t>Annual</t>
  </si>
  <si>
    <t>/kW</t>
  </si>
  <si>
    <t>Monthly</t>
  </si>
  <si>
    <t>Energy I - first 50,000 kWh</t>
  </si>
  <si>
    <t>Total Bill</t>
  </si>
  <si>
    <t>Goal Seek Error</t>
  </si>
  <si>
    <t>Total bill</t>
  </si>
  <si>
    <t>$</t>
  </si>
  <si>
    <t>Average</t>
  </si>
  <si>
    <t>$/kWh</t>
  </si>
  <si>
    <t>Calculated Energy Charge 2020</t>
  </si>
  <si>
    <t>Customer Profile - 2020</t>
  </si>
  <si>
    <t>Year of</t>
  </si>
  <si>
    <t>Average Proforma</t>
  </si>
  <si>
    <t>Assigned Target</t>
  </si>
  <si>
    <t>Incremental</t>
  </si>
  <si>
    <t>Phase-in</t>
  </si>
  <si>
    <t>YoY Adder</t>
  </si>
  <si>
    <t>2019 Rate Schedule 17</t>
  </si>
  <si>
    <t>Billing Determinants and Rates</t>
  </si>
  <si>
    <t>per kW Demand</t>
  </si>
  <si>
    <t>Average $/kWh</t>
  </si>
  <si>
    <t>Step</t>
  </si>
  <si>
    <t>Goal Seek Cells F41 set equal to 2019 Average $/kWh by changing D15</t>
  </si>
  <si>
    <t>2020 Rate Schedule 17</t>
  </si>
  <si>
    <t>Goal Seek Cells F41 set equal to 2019 Average $/kWh by changing D23</t>
  </si>
  <si>
    <t>2021 Rate Schedule 17</t>
  </si>
  <si>
    <t>Rate Schedule 17 Proposed 2019 Update ($/kWh)</t>
  </si>
  <si>
    <t xml:space="preserve"> </t>
  </si>
  <si>
    <t>Rate Schedule 17b</t>
  </si>
  <si>
    <t>Rate Schedule 17ar &amp; 17ac</t>
  </si>
  <si>
    <t>Assigned Additional Assessment</t>
  </si>
  <si>
    <t>Rate 14 Cost to Serve</t>
  </si>
  <si>
    <t>Blended (RS 1 &amp;2) Cost to Serve</t>
  </si>
  <si>
    <t>Transmission Acceleration</t>
  </si>
  <si>
    <t>Distribution Adder</t>
  </si>
  <si>
    <t>Departure Liquidation Cost</t>
  </si>
  <si>
    <t>Additional Assessment</t>
  </si>
  <si>
    <t>Target for RS17b</t>
  </si>
  <si>
    <t>Target for RS17a</t>
  </si>
  <si>
    <t>11/25/2019 Workshop</t>
  </si>
  <si>
    <t>Original 2021 Target</t>
  </si>
  <si>
    <t>Per Unit Cost from 2017 COSA for 2018</t>
  </si>
  <si>
    <t>Base Energy Calculation for Rate Schedule 17*</t>
  </si>
  <si>
    <t>Rate Class</t>
  </si>
  <si>
    <t>Cost/kWh</t>
  </si>
  <si>
    <t>Base Energy for RS17a</t>
  </si>
  <si>
    <t>RS1</t>
  </si>
  <si>
    <t>RS2</t>
  </si>
  <si>
    <t>RS3</t>
  </si>
  <si>
    <t>RS6</t>
  </si>
  <si>
    <t>RS7</t>
  </si>
  <si>
    <t>Base Energy for RS17b</t>
  </si>
  <si>
    <t>RS14</t>
  </si>
  <si>
    <t>RS15</t>
  </si>
  <si>
    <t>*Allocation Per the Commission as</t>
  </si>
  <si>
    <t>RS16</t>
  </si>
  <si>
    <t>related by Rates &amp; Pricing</t>
  </si>
  <si>
    <t>Source: Average rates from Rates &amp; Pricing</t>
  </si>
  <si>
    <t>Assumptions and Parameters</t>
  </si>
  <si>
    <t>Call Option Value</t>
  </si>
  <si>
    <t>Black-76 Model*</t>
  </si>
  <si>
    <t>Years to Completion</t>
  </si>
  <si>
    <t>Value of Transmission to System (market) and EI (strike)</t>
  </si>
  <si>
    <t>Variable</t>
  </si>
  <si>
    <t>Value</t>
  </si>
  <si>
    <t>Discount Rate</t>
  </si>
  <si>
    <t>Market - System Transmission Cost ($/MWh)</t>
  </si>
  <si>
    <t>F</t>
  </si>
  <si>
    <t>Market Price - Actual cost of providing transmission to EI</t>
  </si>
  <si>
    <t>Year Transmission in Service</t>
  </si>
  <si>
    <t>Strike - Transmission Cost to EI ($/MWh)</t>
  </si>
  <si>
    <t>X</t>
  </si>
  <si>
    <t>Strike Price - Actual cost of System use of Incremental Transmission</t>
  </si>
  <si>
    <t>Cost over System to EI ($/MWh)</t>
  </si>
  <si>
    <t>T</t>
  </si>
  <si>
    <t>Years to Excersize</t>
  </si>
  <si>
    <t>r</t>
  </si>
  <si>
    <t>Risk Free Rate</t>
  </si>
  <si>
    <t>Option Im=nputs</t>
  </si>
  <si>
    <t>v</t>
  </si>
  <si>
    <t>Implied Volatility (Based on NEPOOL Paper)</t>
  </si>
  <si>
    <t>Strike Price ($/MWh)</t>
  </si>
  <si>
    <t xml:space="preserve">d1 </t>
  </si>
  <si>
    <t>Required for model</t>
  </si>
  <si>
    <t>Market Price ($/MWh)</t>
  </si>
  <si>
    <t>d2</t>
  </si>
  <si>
    <t>Time to Strike (years)</t>
  </si>
  <si>
    <t>Call ($/MWh)</t>
  </si>
  <si>
    <t>Option Value</t>
  </si>
  <si>
    <t>for options on futures.  Based on</t>
  </si>
  <si>
    <t>Intrinsic Value ($/MWh)</t>
  </si>
  <si>
    <t>Haug, E., "The Complete Guide to Option Pricing Formulas", 2nd Edition, Page 5</t>
  </si>
  <si>
    <t>Extrinsic Value ($/MWh)</t>
  </si>
  <si>
    <t>Total Value ($/MWh)</t>
  </si>
  <si>
    <t>Incremental Transmission Assumptions</t>
  </si>
  <si>
    <t xml:space="preserve">Utilization of Incremental Transmission &amp; Cost Recovery              </t>
  </si>
  <si>
    <t>Transmission  Capital Assumptions, Basis and Candidate Projects</t>
  </si>
  <si>
    <t>System Xmission Limit 2017 (MW)</t>
  </si>
  <si>
    <t>MWhs Delivered over Incremental Transmission</t>
  </si>
  <si>
    <t>Actual projects used as proxy for likely expected costs</t>
  </si>
  <si>
    <t>Year of Incremental Transmission Needed</t>
  </si>
  <si>
    <t>NPV</t>
  </si>
  <si>
    <t>Project</t>
  </si>
  <si>
    <t>Probability*</t>
  </si>
  <si>
    <t>Distance (miles)</t>
  </si>
  <si>
    <t>Transmission</t>
  </si>
  <si>
    <t>Station</t>
  </si>
  <si>
    <t>Total Cost</t>
  </si>
  <si>
    <t>Expected Cost</t>
  </si>
  <si>
    <t>Incremental Transmission Capacity (MVA)</t>
  </si>
  <si>
    <t>System Portion (MWh)</t>
  </si>
  <si>
    <t>Rocky Ford to Grand Coulee</t>
  </si>
  <si>
    <t>System Load Factor (%)</t>
  </si>
  <si>
    <t>EI Portion (MWh)</t>
  </si>
  <si>
    <t>Mountain View to Mic-C</t>
  </si>
  <si>
    <t>Usable Transmission Load Capacity (aMW)</t>
  </si>
  <si>
    <t>Load on Transmission (MWh)</t>
  </si>
  <si>
    <t>Network Upgrades</t>
  </si>
  <si>
    <t>-</t>
  </si>
  <si>
    <t>Usable Energy Transmission Capacity (MWh)</t>
  </si>
  <si>
    <t>155kV Ancient Lake-White Trail Tap</t>
  </si>
  <si>
    <t>Costs</t>
  </si>
  <si>
    <t>155kV Frenchman Hill-Royal City</t>
  </si>
  <si>
    <t>Transmission Capital in 2020 Dollars</t>
  </si>
  <si>
    <t>155kV Larson-Wheeler Tap</t>
  </si>
  <si>
    <t>Cash portion 40% of total Capital</t>
  </si>
  <si>
    <t>Cash required for construction</t>
  </si>
  <si>
    <t>Cash</t>
  </si>
  <si>
    <t>155kV Ruff-Warden</t>
  </si>
  <si>
    <t>Debt Component</t>
  </si>
  <si>
    <t>Principal &amp; Interest on Debt</t>
  </si>
  <si>
    <t>Principal &amp; Interest</t>
  </si>
  <si>
    <t>230/155 kV Rocky Ford XFMR</t>
  </si>
  <si>
    <t>Debt Interest Rate</t>
  </si>
  <si>
    <t>Total Costs</t>
  </si>
  <si>
    <t>* Likelihood this option is selected</t>
  </si>
  <si>
    <t>Total Expected Transmission Cost</t>
  </si>
  <si>
    <t>Date for NPV Calculation Start</t>
  </si>
  <si>
    <t>Term (Years)</t>
  </si>
  <si>
    <t>Recovery of Cash</t>
  </si>
  <si>
    <t>Total Revenue requirements for first 5 years</t>
  </si>
  <si>
    <t>Assumptions for Above Projects</t>
  </si>
  <si>
    <t>Annual Principal + Interest</t>
  </si>
  <si>
    <t>Cost</t>
  </si>
  <si>
    <t>Description</t>
  </si>
  <si>
    <t>Source</t>
  </si>
  <si>
    <t>Cash Recovery Payment</t>
  </si>
  <si>
    <t>500kV Switchyard and substation</t>
  </si>
  <si>
    <t>P&amp;I</t>
  </si>
  <si>
    <t>230kV Switchyard and substation</t>
  </si>
  <si>
    <t>Required Cash Recovery</t>
  </si>
  <si>
    <t>230kV per mile</t>
  </si>
  <si>
    <t>https://www.wecc.biz/Reliability/2014_TEPPC_Transmission_CapCost_Report_B+V.pdf</t>
  </si>
  <si>
    <t>Recovery Period (Years)</t>
  </si>
  <si>
    <t>500kV per mile</t>
  </si>
  <si>
    <t>Premium for Cash Recovery</t>
  </si>
  <si>
    <t>Allocation of Revenue Requirements</t>
  </si>
  <si>
    <t>Annual Recovery</t>
  </si>
  <si>
    <t>Premium Value of Cash</t>
  </si>
  <si>
    <t>System</t>
  </si>
  <si>
    <t>EI</t>
  </si>
  <si>
    <t>Embedded System Transmission Cost per 2017 COSA</t>
  </si>
  <si>
    <t>$/MWh</t>
  </si>
  <si>
    <t>EI Transmissoin Cost ($/MWh)</t>
  </si>
  <si>
    <t>Premium over System  ($/MWh)</t>
  </si>
  <si>
    <t>Incremental costs on Grant PUD Distribution System caused by EI Class Customers*</t>
  </si>
  <si>
    <r>
      <t>Size Basis</t>
    </r>
    <r>
      <rPr>
        <vertAlign val="super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 xml:space="preserve"> for Estimate (MW)</t>
    </r>
  </si>
  <si>
    <r>
      <t>Estimated Load Factor</t>
    </r>
    <r>
      <rPr>
        <vertAlign val="superscript"/>
        <sz val="9.9"/>
        <color theme="1"/>
        <rFont val="Calibri"/>
        <family val="2"/>
      </rPr>
      <t>1</t>
    </r>
  </si>
  <si>
    <t>Expected 2020 EI aMW</t>
  </si>
  <si>
    <t>Annual MWh</t>
  </si>
  <si>
    <r>
      <t>Annual expected incidents related to both legal and illegal EI activity</t>
    </r>
    <r>
      <rPr>
        <vertAlign val="superscript"/>
        <sz val="11"/>
        <color theme="1"/>
        <rFont val="Calibri"/>
        <family val="2"/>
        <scheme val="minor"/>
      </rPr>
      <t>1</t>
    </r>
  </si>
  <si>
    <r>
      <t>Annual expected major feeder failures due to both legal and illegal EI activity</t>
    </r>
    <r>
      <rPr>
        <vertAlign val="superscript"/>
        <sz val="11"/>
        <color theme="1"/>
        <rFont val="Calibri"/>
        <family val="2"/>
        <scheme val="minor"/>
      </rPr>
      <t>1</t>
    </r>
  </si>
  <si>
    <r>
      <t>Grant PUD cost to respond and resolve an incident</t>
    </r>
    <r>
      <rPr>
        <vertAlign val="superscript"/>
        <sz val="11"/>
        <color theme="1"/>
        <rFont val="Calibri"/>
        <family val="2"/>
        <scheme val="minor"/>
      </rPr>
      <t>1</t>
    </r>
  </si>
  <si>
    <r>
      <t>Grant PUD cost per major feeder failure (blowout)</t>
    </r>
    <r>
      <rPr>
        <vertAlign val="superscript"/>
        <sz val="11"/>
        <color theme="1"/>
        <rFont val="Calibri"/>
        <family val="2"/>
        <scheme val="minor"/>
      </rPr>
      <t>1</t>
    </r>
  </si>
  <si>
    <t>Total Grant PUD annual expected cost increase</t>
  </si>
  <si>
    <t>Expected cost per MWh of incremental distribution costs</t>
  </si>
  <si>
    <r>
      <rPr>
        <vertAlign val="superscript"/>
        <sz val="11"/>
        <rFont val="Calibri"/>
        <family val="2"/>
        <scheme val="minor"/>
      </rPr>
      <t>*</t>
    </r>
    <r>
      <rPr>
        <sz val="11"/>
        <rFont val="Calibri"/>
        <family val="2"/>
        <scheme val="minor"/>
      </rPr>
      <t>From Original Study</t>
    </r>
  </si>
  <si>
    <t>Assumptions About EI Class and Retail Electric Competition</t>
  </si>
  <si>
    <t>Calculation of Lost Revenue Recovery</t>
  </si>
  <si>
    <t>Calculation of Expected Lost Revenue Due to Changes in Price Spread Between Grant PUD and Other States</t>
  </si>
  <si>
    <t>Prices and Strip Calculations</t>
  </si>
  <si>
    <t>Assumptions and Inputs:</t>
  </si>
  <si>
    <t>2020 Expected MWa Retail Sales</t>
  </si>
  <si>
    <t>Period</t>
  </si>
  <si>
    <t>Balance of Year</t>
  </si>
  <si>
    <t>Market</t>
  </si>
  <si>
    <t>Maximum</t>
  </si>
  <si>
    <t>Probability of Departure</t>
  </si>
  <si>
    <t>Expected  12 month Loss</t>
  </si>
  <si>
    <t>12-Month</t>
  </si>
  <si>
    <t>1)</t>
  </si>
  <si>
    <t>Customers will leave to save $40,000/year</t>
  </si>
  <si>
    <t>Required Retail Rate to keep no EI customers neutral* (input)</t>
  </si>
  <si>
    <t>Days</t>
  </si>
  <si>
    <t>Hours</t>
  </si>
  <si>
    <t>MWh</t>
  </si>
  <si>
    <t>Sales ($)</t>
  </si>
  <si>
    <t>Retail $</t>
  </si>
  <si>
    <t>Price</t>
  </si>
  <si>
    <t>Market $</t>
  </si>
  <si>
    <t>Lost $</t>
  </si>
  <si>
    <t>Monthly*</t>
  </si>
  <si>
    <t>Cumulative</t>
  </si>
  <si>
    <t>RTC Price</t>
  </si>
  <si>
    <t>Strip Price</t>
  </si>
  <si>
    <t>2)</t>
  </si>
  <si>
    <t>If other states drop rates $0.0025/kWh lower than Grant PUD</t>
  </si>
  <si>
    <t>Current RS17a Retail Average Rate</t>
  </si>
  <si>
    <t>3)</t>
  </si>
  <si>
    <t>Oklahoma was identified as a strong competitor to Grant PUD</t>
  </si>
  <si>
    <t>Error due to incorect Required Retail Rate (should be zero)</t>
  </si>
  <si>
    <t>4)</t>
  </si>
  <si>
    <t>Grant PUD is losing customers to OK and TX indicating that prices are close to par</t>
  </si>
  <si>
    <t>5)</t>
  </si>
  <si>
    <t>The EI Class driven by the net cost of electricity in $/kWh</t>
  </si>
  <si>
    <t>Expected 12 month loss</t>
  </si>
  <si>
    <t>6)</t>
  </si>
  <si>
    <t>Because the EI class recovers its capital quickly, their opportunity cost of abandoning Assets is small</t>
  </si>
  <si>
    <t>Expected MWh sold retail</t>
  </si>
  <si>
    <t>7)</t>
  </si>
  <si>
    <t>Grant PUD has a general hedge horizon of 12 months</t>
  </si>
  <si>
    <t>Departure Loss per MWh sold</t>
  </si>
  <si>
    <t>8)</t>
  </si>
  <si>
    <t>Round-the-Clock Pricing is the weighted heavy load and light load hours</t>
  </si>
  <si>
    <t>*Minimum retail RS17 rate to recoverlost reveneus to prevent impacting Grant PUD net revenues</t>
  </si>
  <si>
    <t>9)</t>
  </si>
  <si>
    <t>The study assumes that customer will only make a decision about moving once a month</t>
  </si>
  <si>
    <t>10)</t>
  </si>
  <si>
    <t>Commercial &amp; Credit considerations are not part of this assessment</t>
  </si>
  <si>
    <t>Monte Carlo Calculation Parameters</t>
  </si>
  <si>
    <t>Oklahoma was determined to be a very competitive state for Industrial customers</t>
  </si>
  <si>
    <t>Volatilities are based on monthly retail volatilities for WA and OK; monthly data from EIA</t>
  </si>
  <si>
    <t>Totals</t>
  </si>
  <si>
    <t>Value of power is at par between Grant PUD and OK in the first period</t>
  </si>
  <si>
    <t>*As calculated by P Dietz using Monte Carlo simulation over 100,000 random games</t>
  </si>
  <si>
    <t>The change in the price spread only needs to be $0.0025/kWh to entice some customers to leave</t>
  </si>
  <si>
    <t>Current RS17b Retail Average Rate</t>
  </si>
  <si>
    <t>Estimate of Future Transmission Rates</t>
  </si>
  <si>
    <t>Source Data From 2017 COSA</t>
  </si>
  <si>
    <t>Calculation of Embedded System Transmission Cost From the 2017 COSA</t>
  </si>
  <si>
    <t>Total Retail Sales MWh</t>
  </si>
  <si>
    <t>Transmission Costs</t>
  </si>
  <si>
    <t>Cost per MWh</t>
  </si>
  <si>
    <t>Rate Schedule 17 Summary</t>
  </si>
  <si>
    <t>Comparison of Recommendation to Original Rate Schedule 17b</t>
  </si>
  <si>
    <t>Typical Monthly Customer Load</t>
  </si>
  <si>
    <t>Proposed Billing Rates  Effective 4/1/2020</t>
  </si>
  <si>
    <t>Billingh Rates Effective 4/1/2019</t>
  </si>
  <si>
    <t>Rate Schedule 17 Comparison or Recommended to Original</t>
  </si>
  <si>
    <t>Rate Schedule 17b (&gt;200kW)</t>
  </si>
  <si>
    <t>Rate Schedule 17</t>
  </si>
  <si>
    <t>RS17b &gt;200kW Billing Determinants and Rates</t>
  </si>
  <si>
    <t>Proposed</t>
  </si>
  <si>
    <t>Workshop*</t>
  </si>
  <si>
    <t>17b</t>
  </si>
  <si>
    <t>17ar</t>
  </si>
  <si>
    <t>17ac</t>
  </si>
  <si>
    <t>Change $/kWh</t>
  </si>
  <si>
    <t>Change %</t>
  </si>
  <si>
    <t>Base</t>
  </si>
  <si>
    <t>LF</t>
  </si>
  <si>
    <t>Trans Acceleration</t>
  </si>
  <si>
    <t>akW</t>
  </si>
  <si>
    <t>Minimum</t>
  </si>
  <si>
    <t>Departure Cost</t>
  </si>
  <si>
    <t>RS17b &gt;200kW Monthly Bill and All-In $/kWh</t>
  </si>
  <si>
    <t>All-in Rate per kWh</t>
  </si>
  <si>
    <t>Rate Schedule 17a (&lt;200kW)</t>
  </si>
  <si>
    <t>Trans Call</t>
  </si>
  <si>
    <t>Overall Put 1</t>
  </si>
  <si>
    <t>RS17a &lt;200kW Billing Determinants and Rates</t>
  </si>
  <si>
    <t>Base /Day</t>
  </si>
  <si>
    <t>RS17ac &lt;200kW Monthly Bill and All-In $/kWh</t>
  </si>
  <si>
    <t>All-in calculated 17a $/kWh subtracted from target Rate</t>
  </si>
  <si>
    <t>All-in calculated 17b $/kWh subtracted from target Rate</t>
  </si>
  <si>
    <t>.</t>
  </si>
  <si>
    <t>Framework 1</t>
  </si>
  <si>
    <t>Industrial</t>
  </si>
  <si>
    <t>Residential</t>
  </si>
  <si>
    <t>Current Adder</t>
  </si>
  <si>
    <t>Current Rate 14 Cost to Serve</t>
  </si>
  <si>
    <t>Current Blended (RS 1 &amp;2) Cost to Serve</t>
  </si>
  <si>
    <t>Subsidy Term</t>
  </si>
  <si>
    <t>total rate per Framework 1</t>
  </si>
  <si>
    <t>From Original Worksheets from File "EVI Rate Class components_07022018_final.xlsx"</t>
  </si>
  <si>
    <t>2018 Rate Schedule 7</t>
  </si>
  <si>
    <t xml:space="preserve">per kWh, first </t>
  </si>
  <si>
    <t>per kWh, all additional kWh</t>
  </si>
  <si>
    <t>RS17a</t>
  </si>
  <si>
    <t>RS17b</t>
  </si>
  <si>
    <t>2018 RS7</t>
  </si>
  <si>
    <t>2018 RS1</t>
  </si>
  <si>
    <t>Energy 1</t>
  </si>
  <si>
    <t>Energy II Threshold</t>
  </si>
  <si>
    <t>Base Units</t>
  </si>
  <si>
    <t>Daily</t>
  </si>
  <si>
    <t>Target</t>
  </si>
  <si>
    <t>Current</t>
  </si>
  <si>
    <t>Recommended</t>
  </si>
  <si>
    <t>Pro-forma RS17b Customer Profile</t>
  </si>
  <si>
    <t>Pro-forma RS17a  Customer Profile</t>
  </si>
  <si>
    <t>Proforma Customer</t>
  </si>
  <si>
    <t>Bill Total</t>
  </si>
  <si>
    <t>All-in Rate</t>
  </si>
  <si>
    <t>Current RS 17</t>
  </si>
  <si>
    <t>Recommended RS 17</t>
  </si>
  <si>
    <t>Retail Rates For Rate Comparisons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</si>
</sst>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000"/>
    <numFmt numFmtId="167" formatCode="0.000%"/>
    <numFmt numFmtId="168" formatCode="0.000000"/>
    <numFmt numFmtId="169" formatCode="_(&quot;$&quot;* #,##0.00000_);_(&quot;$&quot;* \(#,##0.00000\);_(&quot;$&quot;* &quot;-&quot;??_);_(@_)"/>
    <numFmt numFmtId="170" formatCode="_(&quot;$&quot;* #,##0.000000_);_(&quot;$&quot;* \(#,##0.000000\);_(&quot;$&quot;* &quot;-&quot;??_);_(@_)"/>
    <numFmt numFmtId="171" formatCode="0.0%"/>
    <numFmt numFmtId="172" formatCode="&quot;$&quot;#,##0.000000"/>
    <numFmt numFmtId="173" formatCode="&quot;$&quot;#,##0.00000_);[Red]\(&quot;$&quot;#,##0.00000\)"/>
    <numFmt numFmtId="174" formatCode="&quot;$&quot;#,##0.00"/>
    <numFmt numFmtId="175" formatCode="&quot;$&quot;#,##0.00000"/>
    <numFmt numFmtId="176" formatCode="&quot;$&quot;#,##0.000000_);[Red]\(&quot;$&quot;#,##0.000000\)"/>
    <numFmt numFmtId="177" formatCode="_(&quot;$&quot;* #,##0.00000000_);_(&quot;$&quot;* \(#,##0.00000000\);_(&quot;$&quot;* &quot;-&quot;??_);_(@_)"/>
    <numFmt numFmtId="178" formatCode="_(* #,##0.0_);_(* \(#,##0.0\);_(* &quot;-&quot;??_);_(@_)"/>
    <numFmt numFmtId="179" formatCode="&quot;$&quot;#,##0.0000_);[Red]\(&quot;$&quot;#,##0.0000\)"/>
    <numFmt numFmtId="180" formatCode="[$-409]mmm\-yy;@"/>
    <numFmt numFmtId="181" formatCode="&quot;$&quot;#,##0"/>
    <numFmt numFmtId="182" formatCode="yyyy"/>
    <numFmt numFmtId="183" formatCode="_(* #,##0.000_);_(* \(#,##0.000\);_(* &quot;-&quot;??_);_(@_)"/>
    <numFmt numFmtId="184" formatCode="_(&quot;$&quot;* #,##0.000_);_(&quot;$&quot;* \(#,##0.000\);_(&quot;$&quot;* &quot;-&quot;??_);_(@_)"/>
    <numFmt numFmtId="185" formatCode="_(* #,##0.0000_);_(* \(#,##0.0000\);_(* &quot;-&quot;??_);_(@_)"/>
    <numFmt numFmtId="186" formatCode="&quot;$&quot;#,##0.0000000"/>
    <numFmt numFmtId="187" formatCode="_(&quot;$&quot;* #,##0.0000_);_(&quot;$&quot;* \(#,##0.0000\);_(&quot;$&quot;* &quot;-&quot;??_);_(@_)"/>
    <numFmt numFmtId="188" formatCode="&quot;$&quot;#,##0.000000;&quot;$&quot;\(#,##0.000000\);_(* &quot;-&quot;??_)"/>
  </numFmts>
  <fonts count="45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9"/>
      <name val="Geneva"/>
    </font>
    <font>
      <u/>
      <sz val="9"/>
      <color theme="10"/>
      <name val="Geneva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vertAlign val="superscript"/>
      <sz val="11"/>
      <name val="Calibri"/>
      <family val="2"/>
      <scheme val="minor"/>
    </font>
    <font>
      <vertAlign val="superscript"/>
      <sz val="11"/>
      <color theme="1"/>
      <name val="Calibri"/>
      <family val="2"/>
    </font>
    <font>
      <vertAlign val="superscript"/>
      <sz val="9.9"/>
      <color theme="1"/>
      <name val="Calibri"/>
      <family val="2"/>
    </font>
    <font>
      <sz val="11"/>
      <color rgb="FF000000"/>
      <name val="Calibri"/>
      <family val="2"/>
    </font>
    <font>
      <sz val="11"/>
      <color theme="3"/>
      <name val="Calibri"/>
      <family val="2"/>
      <scheme val="minor"/>
    </font>
    <font>
      <sz val="7"/>
      <color theme="1"/>
      <name val="Arial"/>
      <family val="2"/>
    </font>
    <font>
      <b/>
      <sz val="7"/>
      <color theme="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0"/>
      <name val="Arial"/>
      <family val="2"/>
    </font>
    <font>
      <sz val="7"/>
      <color theme="4" tint="-0.249977111117893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D7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F8989"/>
        <bgColor indexed="64"/>
      </patternFill>
    </fill>
    <fill>
      <patternFill patternType="solid">
        <fgColor rgb="FF948A54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indexed="64"/>
      </top>
      <bottom/>
      <diagonal/>
    </border>
    <border>
      <left/>
      <right style="thick">
        <color auto="1"/>
      </right>
      <top style="thin">
        <color indexed="64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</borders>
  <cellStyleXfs count="18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2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6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856">
    <xf numFmtId="0" fontId="0" fillId="0" borderId="0" xfId="0"/>
    <xf numFmtId="0" fontId="0" fillId="0" borderId="10" xfId="0" applyBorder="1" applyAlignment="1">
      <alignment horizontal="centerContinuous"/>
    </xf>
    <xf numFmtId="0" fontId="0" fillId="0" borderId="14" xfId="0" applyBorder="1" applyAlignment="1">
      <alignment horizontal="centerContinuous"/>
    </xf>
    <xf numFmtId="169" fontId="11" fillId="0" borderId="11" xfId="0" applyNumberFormat="1" applyFont="1" applyBorder="1"/>
    <xf numFmtId="0" fontId="19" fillId="0" borderId="0" xfId="5" applyFont="1"/>
    <xf numFmtId="0" fontId="20" fillId="7" borderId="9" xfId="0" applyFont="1" applyFill="1" applyBorder="1" applyAlignment="1">
      <alignment horizontal="centerContinuous"/>
    </xf>
    <xf numFmtId="0" fontId="14" fillId="0" borderId="0" xfId="0" applyFont="1" applyBorder="1"/>
    <xf numFmtId="169" fontId="22" fillId="0" borderId="11" xfId="4" applyNumberFormat="1" applyFont="1" applyBorder="1"/>
    <xf numFmtId="0" fontId="14" fillId="0" borderId="11" xfId="0" applyFont="1" applyBorder="1"/>
    <xf numFmtId="169" fontId="18" fillId="0" borderId="13" xfId="0" applyNumberFormat="1" applyFont="1" applyBorder="1"/>
    <xf numFmtId="0" fontId="14" fillId="0" borderId="13" xfId="0" applyFont="1" applyBorder="1"/>
    <xf numFmtId="0" fontId="14" fillId="8" borderId="9" xfId="0" applyNumberFormat="1" applyFont="1" applyFill="1" applyBorder="1" applyAlignment="1">
      <alignment horizontal="centerContinuous"/>
    </xf>
    <xf numFmtId="0" fontId="14" fillId="9" borderId="9" xfId="0" applyNumberFormat="1" applyFont="1" applyFill="1" applyBorder="1" applyAlignment="1">
      <alignment horizontal="centerContinuous"/>
    </xf>
    <xf numFmtId="0" fontId="14" fillId="10" borderId="9" xfId="0" applyNumberFormat="1" applyFont="1" applyFill="1" applyBorder="1" applyAlignment="1">
      <alignment horizontal="centerContinuous"/>
    </xf>
    <xf numFmtId="169" fontId="22" fillId="5" borderId="0" xfId="4" applyNumberFormat="1" applyFont="1" applyFill="1" applyBorder="1"/>
    <xf numFmtId="0" fontId="14" fillId="5" borderId="16" xfId="0" applyFont="1" applyFill="1" applyBorder="1" applyAlignment="1">
      <alignment horizontal="centerContinuous"/>
    </xf>
    <xf numFmtId="0" fontId="20" fillId="7" borderId="16" xfId="0" applyFont="1" applyFill="1" applyBorder="1" applyAlignment="1">
      <alignment horizontal="centerContinuous"/>
    </xf>
    <xf numFmtId="164" fontId="18" fillId="0" borderId="11" xfId="3" applyNumberFormat="1" applyFont="1" applyBorder="1"/>
    <xf numFmtId="10" fontId="18" fillId="0" borderId="12" xfId="0" applyNumberFormat="1" applyFont="1" applyBorder="1"/>
    <xf numFmtId="174" fontId="18" fillId="5" borderId="11" xfId="4" applyNumberFormat="1" applyFont="1" applyFill="1" applyBorder="1"/>
    <xf numFmtId="172" fontId="18" fillId="5" borderId="12" xfId="4" applyNumberFormat="1" applyFont="1" applyFill="1" applyBorder="1"/>
    <xf numFmtId="174" fontId="18" fillId="5" borderId="13" xfId="4" applyNumberFormat="1" applyFont="1" applyFill="1" applyBorder="1"/>
    <xf numFmtId="0" fontId="14" fillId="5" borderId="0" xfId="0" applyFont="1" applyFill="1" applyBorder="1" applyAlignment="1">
      <alignment horizontal="right"/>
    </xf>
    <xf numFmtId="174" fontId="18" fillId="8" borderId="11" xfId="4" applyNumberFormat="1" applyFont="1" applyFill="1" applyBorder="1"/>
    <xf numFmtId="172" fontId="18" fillId="8" borderId="12" xfId="4" applyNumberFormat="1" applyFont="1" applyFill="1" applyBorder="1"/>
    <xf numFmtId="174" fontId="18" fillId="8" borderId="13" xfId="4" applyNumberFormat="1" applyFont="1" applyFill="1" applyBorder="1"/>
    <xf numFmtId="174" fontId="18" fillId="10" borderId="11" xfId="4" applyNumberFormat="1" applyFont="1" applyFill="1" applyBorder="1"/>
    <xf numFmtId="172" fontId="18" fillId="10" borderId="12" xfId="4" applyNumberFormat="1" applyFont="1" applyFill="1" applyBorder="1"/>
    <xf numFmtId="174" fontId="18" fillId="10" borderId="13" xfId="4" applyNumberFormat="1" applyFont="1" applyFill="1" applyBorder="1"/>
    <xf numFmtId="174" fontId="18" fillId="9" borderId="11" xfId="4" applyNumberFormat="1" applyFont="1" applyFill="1" applyBorder="1"/>
    <xf numFmtId="172" fontId="18" fillId="9" borderId="12" xfId="4" applyNumberFormat="1" applyFont="1" applyFill="1" applyBorder="1"/>
    <xf numFmtId="174" fontId="18" fillId="9" borderId="13" xfId="4" applyNumberFormat="1" applyFont="1" applyFill="1" applyBorder="1"/>
    <xf numFmtId="0" fontId="14" fillId="8" borderId="9" xfId="0" applyFont="1" applyFill="1" applyBorder="1" applyAlignment="1">
      <alignment horizontal="centerContinuous"/>
    </xf>
    <xf numFmtId="0" fontId="14" fillId="8" borderId="14" xfId="0" applyFont="1" applyFill="1" applyBorder="1" applyAlignment="1">
      <alignment horizontal="centerContinuous"/>
    </xf>
    <xf numFmtId="0" fontId="14" fillId="8" borderId="10" xfId="0" applyFont="1" applyFill="1" applyBorder="1" applyAlignment="1">
      <alignment horizontal="centerContinuous"/>
    </xf>
    <xf numFmtId="173" fontId="22" fillId="8" borderId="12" xfId="4" applyNumberFormat="1" applyFont="1" applyFill="1" applyBorder="1"/>
    <xf numFmtId="0" fontId="14" fillId="9" borderId="9" xfId="0" applyFont="1" applyFill="1" applyBorder="1" applyAlignment="1">
      <alignment horizontal="centerContinuous"/>
    </xf>
    <xf numFmtId="0" fontId="14" fillId="9" borderId="14" xfId="0" applyFont="1" applyFill="1" applyBorder="1" applyAlignment="1">
      <alignment horizontal="centerContinuous"/>
    </xf>
    <xf numFmtId="0" fontId="14" fillId="9" borderId="10" xfId="0" applyFont="1" applyFill="1" applyBorder="1" applyAlignment="1">
      <alignment horizontal="centerContinuous"/>
    </xf>
    <xf numFmtId="173" fontId="22" fillId="9" borderId="12" xfId="4" applyNumberFormat="1" applyFont="1" applyFill="1" applyBorder="1"/>
    <xf numFmtId="0" fontId="14" fillId="10" borderId="9" xfId="0" applyFont="1" applyFill="1" applyBorder="1" applyAlignment="1">
      <alignment horizontal="centerContinuous"/>
    </xf>
    <xf numFmtId="0" fontId="14" fillId="10" borderId="14" xfId="0" applyFont="1" applyFill="1" applyBorder="1" applyAlignment="1">
      <alignment horizontal="centerContinuous"/>
    </xf>
    <xf numFmtId="0" fontId="14" fillId="10" borderId="10" xfId="0" applyFont="1" applyFill="1" applyBorder="1" applyAlignment="1">
      <alignment horizontal="centerContinuous"/>
    </xf>
    <xf numFmtId="173" fontId="22" fillId="10" borderId="12" xfId="4" applyNumberFormat="1" applyFont="1" applyFill="1" applyBorder="1"/>
    <xf numFmtId="0" fontId="14" fillId="12" borderId="30" xfId="0" applyFont="1" applyFill="1" applyBorder="1" applyAlignment="1">
      <alignment horizontal="centerContinuous"/>
    </xf>
    <xf numFmtId="0" fontId="11" fillId="0" borderId="0" xfId="7" applyFont="1"/>
    <xf numFmtId="0" fontId="20" fillId="7" borderId="0" xfId="0" applyFont="1" applyFill="1" applyAlignment="1">
      <alignment horizontal="centerContinuous"/>
    </xf>
    <xf numFmtId="0" fontId="8" fillId="0" borderId="0" xfId="0" applyFont="1"/>
    <xf numFmtId="0" fontId="23" fillId="0" borderId="0" xfId="0" applyFont="1" applyBorder="1"/>
    <xf numFmtId="0" fontId="18" fillId="0" borderId="0" xfId="0" applyFont="1" applyBorder="1"/>
    <xf numFmtId="44" fontId="11" fillId="0" borderId="0" xfId="4" applyFont="1" applyBorder="1"/>
    <xf numFmtId="0" fontId="23" fillId="0" borderId="0" xfId="0" applyFont="1"/>
    <xf numFmtId="0" fontId="18" fillId="0" borderId="0" xfId="1" applyNumberFormat="1" applyFont="1" applyAlignment="1">
      <alignment horizontal="center"/>
    </xf>
    <xf numFmtId="9" fontId="18" fillId="0" borderId="0" xfId="1" applyFont="1" applyAlignment="1">
      <alignment horizontal="center"/>
    </xf>
    <xf numFmtId="164" fontId="18" fillId="0" borderId="0" xfId="3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NumberFormat="1" applyFont="1" applyAlignment="1">
      <alignment horizontal="center"/>
    </xf>
    <xf numFmtId="8" fontId="24" fillId="0" borderId="0" xfId="0" applyNumberFormat="1" applyFont="1" applyAlignment="1">
      <alignment horizontal="center"/>
    </xf>
    <xf numFmtId="44" fontId="11" fillId="7" borderId="0" xfId="4" applyFont="1" applyFill="1" applyBorder="1"/>
    <xf numFmtId="0" fontId="18" fillId="7" borderId="0" xfId="0" applyFont="1" applyFill="1" applyBorder="1"/>
    <xf numFmtId="0" fontId="18" fillId="7" borderId="0" xfId="1" applyNumberFormat="1" applyFont="1" applyFill="1" applyAlignment="1">
      <alignment horizontal="center"/>
    </xf>
    <xf numFmtId="9" fontId="18" fillId="7" borderId="0" xfId="1" applyFont="1" applyFill="1" applyAlignment="1">
      <alignment horizontal="center"/>
    </xf>
    <xf numFmtId="164" fontId="18" fillId="7" borderId="0" xfId="3" applyNumberFormat="1" applyFont="1" applyFill="1" applyAlignment="1">
      <alignment horizontal="center"/>
    </xf>
    <xf numFmtId="0" fontId="18" fillId="7" borderId="0" xfId="0" applyFont="1" applyFill="1" applyAlignment="1">
      <alignment horizontal="center"/>
    </xf>
    <xf numFmtId="0" fontId="18" fillId="7" borderId="0" xfId="0" applyNumberFormat="1" applyFont="1" applyFill="1" applyAlignment="1">
      <alignment horizontal="center"/>
    </xf>
    <xf numFmtId="8" fontId="24" fillId="7" borderId="0" xfId="0" applyNumberFormat="1" applyFont="1" applyFill="1" applyAlignment="1">
      <alignment horizontal="center"/>
    </xf>
    <xf numFmtId="0" fontId="7" fillId="0" borderId="0" xfId="0" applyFont="1"/>
    <xf numFmtId="10" fontId="18" fillId="0" borderId="0" xfId="1" applyNumberFormat="1" applyFont="1"/>
    <xf numFmtId="0" fontId="26" fillId="0" borderId="0" xfId="0" applyFont="1"/>
    <xf numFmtId="0" fontId="27" fillId="0" borderId="1" xfId="0" applyFont="1" applyBorder="1"/>
    <xf numFmtId="0" fontId="27" fillId="0" borderId="15" xfId="0" applyFont="1" applyBorder="1"/>
    <xf numFmtId="0" fontId="27" fillId="0" borderId="3" xfId="0" applyFont="1" applyBorder="1"/>
    <xf numFmtId="0" fontId="27" fillId="0" borderId="0" xfId="0" applyFont="1" applyBorder="1"/>
    <xf numFmtId="0" fontId="10" fillId="0" borderId="3" xfId="2" applyFont="1" applyBorder="1"/>
    <xf numFmtId="0" fontId="10" fillId="0" borderId="5" xfId="2" applyFont="1" applyBorder="1"/>
    <xf numFmtId="0" fontId="17" fillId="0" borderId="9" xfId="0" applyFont="1" applyBorder="1" applyAlignment="1">
      <alignment horizontal="centerContinuous"/>
    </xf>
    <xf numFmtId="43" fontId="18" fillId="3" borderId="11" xfId="3" applyFont="1" applyFill="1" applyBorder="1"/>
    <xf numFmtId="0" fontId="14" fillId="0" borderId="0" xfId="0" applyFont="1" applyAlignment="1">
      <alignment horizontal="right"/>
    </xf>
    <xf numFmtId="6" fontId="17" fillId="0" borderId="0" xfId="0" applyNumberFormat="1" applyFont="1" applyFill="1" applyBorder="1"/>
    <xf numFmtId="165" fontId="18" fillId="3" borderId="12" xfId="4" applyNumberFormat="1" applyFont="1" applyFill="1" applyBorder="1"/>
    <xf numFmtId="0" fontId="28" fillId="0" borderId="0" xfId="0" applyFont="1" applyAlignment="1"/>
    <xf numFmtId="0" fontId="28" fillId="0" borderId="0" xfId="0" applyFont="1"/>
    <xf numFmtId="172" fontId="11" fillId="2" borderId="12" xfId="4" applyNumberFormat="1" applyFont="1" applyFill="1" applyBorder="1" applyAlignment="1">
      <alignment horizontal="center"/>
    </xf>
    <xf numFmtId="172" fontId="11" fillId="6" borderId="12" xfId="4" applyNumberFormat="1" applyFont="1" applyFill="1" applyBorder="1" applyAlignment="1">
      <alignment horizontal="center"/>
    </xf>
    <xf numFmtId="172" fontId="11" fillId="0" borderId="13" xfId="4" applyNumberFormat="1" applyFont="1" applyBorder="1" applyAlignment="1">
      <alignment horizontal="center"/>
    </xf>
    <xf numFmtId="0" fontId="11" fillId="0" borderId="0" xfId="5" applyFont="1"/>
    <xf numFmtId="0" fontId="10" fillId="0" borderId="0" xfId="6" applyFont="1" applyAlignment="1" applyProtection="1"/>
    <xf numFmtId="166" fontId="29" fillId="0" borderId="0" xfId="5" applyNumberFormat="1" applyFont="1"/>
    <xf numFmtId="0" fontId="11" fillId="0" borderId="9" xfId="0" applyFont="1" applyBorder="1" applyAlignment="1">
      <alignment horizontal="centerContinuous"/>
    </xf>
    <xf numFmtId="0" fontId="20" fillId="7" borderId="0" xfId="10" applyFont="1" applyFill="1" applyAlignment="1">
      <alignment horizontal="centerContinuous"/>
    </xf>
    <xf numFmtId="180" fontId="11" fillId="0" borderId="12" xfId="0" applyNumberFormat="1" applyFont="1" applyFill="1" applyBorder="1"/>
    <xf numFmtId="180" fontId="11" fillId="0" borderId="13" xfId="0" applyNumberFormat="1" applyFont="1" applyFill="1" applyBorder="1"/>
    <xf numFmtId="0" fontId="11" fillId="0" borderId="12" xfId="0" applyFont="1" applyFill="1" applyBorder="1"/>
    <xf numFmtId="164" fontId="11" fillId="0" borderId="12" xfId="3" applyNumberFormat="1" applyFont="1" applyFill="1" applyBorder="1"/>
    <xf numFmtId="0" fontId="11" fillId="0" borderId="13" xfId="0" applyFont="1" applyFill="1" applyBorder="1"/>
    <xf numFmtId="164" fontId="11" fillId="0" borderId="13" xfId="3" applyNumberFormat="1" applyFont="1" applyFill="1" applyBorder="1"/>
    <xf numFmtId="180" fontId="21" fillId="0" borderId="0" xfId="0" applyNumberFormat="1" applyFont="1" applyFill="1" applyBorder="1"/>
    <xf numFmtId="180" fontId="11" fillId="9" borderId="11" xfId="0" applyNumberFormat="1" applyFont="1" applyFill="1" applyBorder="1"/>
    <xf numFmtId="164" fontId="11" fillId="9" borderId="11" xfId="3" applyNumberFormat="1" applyFont="1" applyFill="1" applyBorder="1"/>
    <xf numFmtId="180" fontId="11" fillId="9" borderId="12" xfId="0" applyNumberFormat="1" applyFont="1" applyFill="1" applyBorder="1"/>
    <xf numFmtId="164" fontId="11" fillId="9" borderId="12" xfId="3" applyNumberFormat="1" applyFont="1" applyFill="1" applyBorder="1"/>
    <xf numFmtId="10" fontId="30" fillId="9" borderId="11" xfId="1" applyNumberFormat="1" applyFont="1" applyFill="1" applyBorder="1" applyAlignment="1">
      <alignment horizontal="center"/>
    </xf>
    <xf numFmtId="10" fontId="30" fillId="9" borderId="12" xfId="1" applyNumberFormat="1" applyFont="1" applyFill="1" applyBorder="1" applyAlignment="1">
      <alignment horizontal="center"/>
    </xf>
    <xf numFmtId="10" fontId="30" fillId="0" borderId="12" xfId="1" applyNumberFormat="1" applyFont="1" applyFill="1" applyBorder="1" applyAlignment="1">
      <alignment horizontal="center"/>
    </xf>
    <xf numFmtId="10" fontId="30" fillId="0" borderId="13" xfId="1" applyNumberFormat="1" applyFont="1" applyFill="1" applyBorder="1" applyAlignment="1">
      <alignment horizontal="center"/>
    </xf>
    <xf numFmtId="0" fontId="31" fillId="0" borderId="0" xfId="0" applyFont="1"/>
    <xf numFmtId="0" fontId="5" fillId="0" borderId="0" xfId="0" applyFont="1"/>
    <xf numFmtId="0" fontId="31" fillId="0" borderId="0" xfId="0" applyFont="1" applyAlignment="1"/>
    <xf numFmtId="0" fontId="11" fillId="0" borderId="38" xfId="0" applyFont="1" applyFill="1" applyBorder="1" applyAlignment="1">
      <alignment horizontal="centerContinuous"/>
    </xf>
    <xf numFmtId="174" fontId="18" fillId="0" borderId="12" xfId="0" applyNumberFormat="1" applyFont="1" applyBorder="1"/>
    <xf numFmtId="175" fontId="18" fillId="0" borderId="12" xfId="0" applyNumberFormat="1" applyFont="1" applyBorder="1"/>
    <xf numFmtId="174" fontId="18" fillId="0" borderId="13" xfId="0" applyNumberFormat="1" applyFont="1" applyBorder="1"/>
    <xf numFmtId="0" fontId="32" fillId="0" borderId="0" xfId="0" applyFont="1" applyAlignment="1">
      <alignment vertical="top"/>
    </xf>
    <xf numFmtId="9" fontId="18" fillId="0" borderId="13" xfId="11" applyFont="1" applyBorder="1"/>
    <xf numFmtId="10" fontId="11" fillId="0" borderId="11" xfId="0" applyNumberFormat="1" applyFont="1" applyBorder="1" applyAlignment="1">
      <alignment horizontal="right"/>
    </xf>
    <xf numFmtId="0" fontId="21" fillId="7" borderId="0" xfId="0" applyFont="1" applyFill="1" applyAlignment="1">
      <alignment horizontal="centerContinuous"/>
    </xf>
    <xf numFmtId="0" fontId="33" fillId="0" borderId="9" xfId="0" applyFont="1" applyBorder="1" applyAlignment="1">
      <alignment horizontal="centerContinuous"/>
    </xf>
    <xf numFmtId="0" fontId="11" fillId="6" borderId="12" xfId="0" applyFont="1" applyFill="1" applyBorder="1" applyAlignment="1">
      <alignment horizontal="left" indent="1"/>
    </xf>
    <xf numFmtId="10" fontId="18" fillId="0" borderId="11" xfId="1" applyNumberFormat="1" applyFont="1" applyBorder="1" applyAlignment="1"/>
    <xf numFmtId="0" fontId="7" fillId="0" borderId="0" xfId="0" applyFont="1" applyFill="1"/>
    <xf numFmtId="0" fontId="14" fillId="0" borderId="12" xfId="0" applyFont="1" applyBorder="1"/>
    <xf numFmtId="6" fontId="14" fillId="0" borderId="12" xfId="0" applyNumberFormat="1" applyFont="1" applyBorder="1"/>
    <xf numFmtId="0" fontId="14" fillId="0" borderId="12" xfId="0" applyFont="1" applyBorder="1" applyAlignment="1">
      <alignment horizontal="center"/>
    </xf>
    <xf numFmtId="165" fontId="14" fillId="0" borderId="12" xfId="0" applyNumberFormat="1" applyFont="1" applyBorder="1"/>
    <xf numFmtId="0" fontId="20" fillId="7" borderId="0" xfId="0" applyFont="1" applyFill="1" applyBorder="1" applyAlignment="1">
      <alignment horizontal="centerContinuous"/>
    </xf>
    <xf numFmtId="0" fontId="5" fillId="0" borderId="0" xfId="0" applyFont="1" applyFill="1"/>
    <xf numFmtId="0" fontId="5" fillId="0" borderId="0" xfId="0" applyFont="1" applyBorder="1"/>
    <xf numFmtId="0" fontId="11" fillId="0" borderId="12" xfId="5" applyFont="1" applyFill="1" applyBorder="1" applyAlignment="1">
      <alignment horizontal="center"/>
    </xf>
    <xf numFmtId="0" fontId="11" fillId="0" borderId="12" xfId="5" applyFont="1" applyBorder="1" applyAlignment="1">
      <alignment horizontal="center"/>
    </xf>
    <xf numFmtId="0" fontId="11" fillId="0" borderId="13" xfId="5" applyFont="1" applyBorder="1" applyAlignment="1">
      <alignment horizontal="center"/>
    </xf>
    <xf numFmtId="0" fontId="11" fillId="0" borderId="8" xfId="5" applyFont="1" applyBorder="1" applyAlignment="1">
      <alignment horizontal="center"/>
    </xf>
    <xf numFmtId="166" fontId="11" fillId="0" borderId="0" xfId="5" applyNumberFormat="1" applyFont="1" applyFill="1"/>
    <xf numFmtId="8" fontId="11" fillId="0" borderId="11" xfId="5" applyNumberFormat="1" applyFont="1" applyFill="1" applyBorder="1"/>
    <xf numFmtId="8" fontId="11" fillId="0" borderId="12" xfId="5" applyNumberFormat="1" applyFont="1" applyFill="1" applyBorder="1"/>
    <xf numFmtId="43" fontId="11" fillId="0" borderId="12" xfId="3" applyFont="1" applyFill="1" applyBorder="1"/>
    <xf numFmtId="166" fontId="11" fillId="0" borderId="12" xfId="5" applyNumberFormat="1" applyFont="1" applyBorder="1"/>
    <xf numFmtId="166" fontId="11" fillId="0" borderId="13" xfId="5" applyNumberFormat="1" applyFont="1" applyBorder="1"/>
    <xf numFmtId="10" fontId="18" fillId="15" borderId="0" xfId="1" applyNumberFormat="1" applyFont="1" applyFill="1" applyBorder="1"/>
    <xf numFmtId="172" fontId="14" fillId="0" borderId="0" xfId="0" applyNumberFormat="1" applyFont="1"/>
    <xf numFmtId="0" fontId="34" fillId="0" borderId="0" xfId="0" applyFont="1"/>
    <xf numFmtId="0" fontId="34" fillId="0" borderId="0" xfId="0" applyFont="1" applyAlignment="1">
      <alignment horizontal="left" indent="1"/>
    </xf>
    <xf numFmtId="0" fontId="11" fillId="0" borderId="1" xfId="0" applyFont="1" applyBorder="1"/>
    <xf numFmtId="0" fontId="11" fillId="0" borderId="2" xfId="0" applyFont="1" applyBorder="1"/>
    <xf numFmtId="0" fontId="11" fillId="0" borderId="3" xfId="0" applyFont="1" applyBorder="1"/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6" fontId="18" fillId="15" borderId="11" xfId="0" applyNumberFormat="1" applyFont="1" applyFill="1" applyBorder="1"/>
    <xf numFmtId="6" fontId="18" fillId="15" borderId="12" xfId="0" applyNumberFormat="1" applyFont="1" applyFill="1" applyBorder="1"/>
    <xf numFmtId="6" fontId="18" fillId="15" borderId="13" xfId="0" applyNumberFormat="1" applyFont="1" applyFill="1" applyBorder="1"/>
    <xf numFmtId="9" fontId="22" fillId="15" borderId="12" xfId="0" applyNumberFormat="1" applyFont="1" applyFill="1" applyBorder="1" applyAlignment="1">
      <alignment horizontal="center"/>
    </xf>
    <xf numFmtId="0" fontId="18" fillId="15" borderId="11" xfId="0" applyFont="1" applyFill="1" applyBorder="1" applyAlignment="1">
      <alignment horizontal="center"/>
    </xf>
    <xf numFmtId="0" fontId="22" fillId="15" borderId="12" xfId="0" applyFont="1" applyFill="1" applyBorder="1" applyAlignment="1">
      <alignment horizontal="center"/>
    </xf>
    <xf numFmtId="0" fontId="34" fillId="0" borderId="0" xfId="0" applyFont="1" applyFill="1" applyBorder="1"/>
    <xf numFmtId="172" fontId="11" fillId="10" borderId="12" xfId="4" applyNumberFormat="1" applyFont="1" applyFill="1" applyBorder="1" applyAlignment="1">
      <alignment horizontal="center"/>
    </xf>
    <xf numFmtId="172" fontId="11" fillId="5" borderId="12" xfId="4" applyNumberFormat="1" applyFont="1" applyFill="1" applyBorder="1" applyAlignment="1">
      <alignment horizontal="center"/>
    </xf>
    <xf numFmtId="0" fontId="11" fillId="0" borderId="0" xfId="0" applyFont="1"/>
    <xf numFmtId="10" fontId="18" fillId="15" borderId="12" xfId="0" applyNumberFormat="1" applyFont="1" applyFill="1" applyBorder="1"/>
    <xf numFmtId="43" fontId="11" fillId="0" borderId="12" xfId="3" applyFont="1" applyBorder="1"/>
    <xf numFmtId="0" fontId="11" fillId="0" borderId="12" xfId="0" applyFont="1" applyBorder="1"/>
    <xf numFmtId="164" fontId="11" fillId="0" borderId="12" xfId="3" applyNumberFormat="1" applyFont="1" applyBorder="1"/>
    <xf numFmtId="0" fontId="24" fillId="15" borderId="12" xfId="0" applyFont="1" applyFill="1" applyBorder="1"/>
    <xf numFmtId="6" fontId="24" fillId="15" borderId="12" xfId="0" applyNumberFormat="1" applyFont="1" applyFill="1" applyBorder="1"/>
    <xf numFmtId="172" fontId="11" fillId="4" borderId="12" xfId="4" applyNumberFormat="1" applyFont="1" applyFill="1" applyBorder="1" applyAlignment="1">
      <alignment horizontal="center"/>
    </xf>
    <xf numFmtId="0" fontId="11" fillId="0" borderId="4" xfId="0" applyFont="1" applyBorder="1" applyAlignment="1">
      <alignment horizontal="left"/>
    </xf>
    <xf numFmtId="10" fontId="11" fillId="0" borderId="4" xfId="1" applyNumberFormat="1" applyFont="1" applyBorder="1"/>
    <xf numFmtId="0" fontId="11" fillId="0" borderId="2" xfId="0" applyFont="1" applyBorder="1" applyAlignment="1">
      <alignment horizontal="left"/>
    </xf>
    <xf numFmtId="0" fontId="5" fillId="0" borderId="0" xfId="7" applyFont="1"/>
    <xf numFmtId="10" fontId="11" fillId="0" borderId="2" xfId="0" applyNumberFormat="1" applyFont="1" applyBorder="1"/>
    <xf numFmtId="0" fontId="20" fillId="7" borderId="0" xfId="0" quotePrefix="1" applyFont="1" applyFill="1" applyAlignment="1">
      <alignment horizontal="centerContinuous"/>
    </xf>
    <xf numFmtId="0" fontId="14" fillId="7" borderId="0" xfId="0" quotePrefix="1" applyFont="1" applyFill="1" applyAlignment="1">
      <alignment horizontal="centerContinuous"/>
    </xf>
    <xf numFmtId="14" fontId="34" fillId="0" borderId="0" xfId="0" applyNumberFormat="1" applyFont="1" applyBorder="1"/>
    <xf numFmtId="164" fontId="11" fillId="0" borderId="15" xfId="3" applyNumberFormat="1" applyFont="1" applyFill="1" applyBorder="1"/>
    <xf numFmtId="44" fontId="18" fillId="16" borderId="12" xfId="4" applyFont="1" applyFill="1" applyBorder="1"/>
    <xf numFmtId="165" fontId="11" fillId="0" borderId="12" xfId="4" applyNumberFormat="1" applyFont="1" applyFill="1" applyBorder="1"/>
    <xf numFmtId="170" fontId="11" fillId="0" borderId="13" xfId="4" applyNumberFormat="1" applyFont="1" applyFill="1" applyBorder="1"/>
    <xf numFmtId="0" fontId="20" fillId="7" borderId="17" xfId="0" applyFont="1" applyFill="1" applyBorder="1" applyAlignment="1">
      <alignment horizontal="centerContinuous"/>
    </xf>
    <xf numFmtId="0" fontId="14" fillId="0" borderId="0" xfId="0" applyFont="1" applyFill="1" applyBorder="1"/>
    <xf numFmtId="43" fontId="18" fillId="0" borderId="11" xfId="3" applyNumberFormat="1" applyFont="1" applyBorder="1"/>
    <xf numFmtId="169" fontId="22" fillId="0" borderId="13" xfId="0" applyNumberFormat="1" applyFont="1" applyBorder="1"/>
    <xf numFmtId="170" fontId="11" fillId="0" borderId="11" xfId="0" applyNumberFormat="1" applyFont="1" applyBorder="1"/>
    <xf numFmtId="170" fontId="18" fillId="15" borderId="0" xfId="4" applyNumberFormat="1" applyFont="1" applyFill="1"/>
    <xf numFmtId="164" fontId="18" fillId="15" borderId="11" xfId="3" applyNumberFormat="1" applyFont="1" applyFill="1" applyBorder="1" applyAlignment="1"/>
    <xf numFmtId="0" fontId="21" fillId="13" borderId="11" xfId="0" applyFont="1" applyFill="1" applyBorder="1"/>
    <xf numFmtId="170" fontId="21" fillId="13" borderId="11" xfId="4" applyNumberFormat="1" applyFont="1" applyFill="1" applyBorder="1" applyAlignment="1">
      <alignment horizontal="center"/>
    </xf>
    <xf numFmtId="9" fontId="21" fillId="13" borderId="11" xfId="0" applyNumberFormat="1" applyFont="1" applyFill="1" applyBorder="1"/>
    <xf numFmtId="165" fontId="0" fillId="0" borderId="0" xfId="4" applyNumberFormat="1" applyFont="1"/>
    <xf numFmtId="10" fontId="11" fillId="0" borderId="12" xfId="11" applyNumberFormat="1" applyFont="1" applyFill="1" applyBorder="1" applyAlignment="1"/>
    <xf numFmtId="0" fontId="0" fillId="0" borderId="0" xfId="0" applyAlignment="1">
      <alignment horizontal="right"/>
    </xf>
    <xf numFmtId="0" fontId="11" fillId="0" borderId="0" xfId="0" applyFont="1" applyAlignment="1">
      <alignment horizontal="left" indent="1"/>
    </xf>
    <xf numFmtId="43" fontId="11" fillId="0" borderId="11" xfId="3" applyFont="1" applyFill="1" applyBorder="1"/>
    <xf numFmtId="164" fontId="11" fillId="0" borderId="11" xfId="13" applyNumberFormat="1" applyFont="1" applyFill="1" applyBorder="1" applyAlignment="1"/>
    <xf numFmtId="164" fontId="11" fillId="0" borderId="12" xfId="13" applyNumberFormat="1" applyFont="1" applyFill="1" applyBorder="1" applyAlignment="1"/>
    <xf numFmtId="174" fontId="18" fillId="0" borderId="8" xfId="4" applyNumberFormat="1" applyFont="1" applyFill="1" applyBorder="1" applyAlignment="1">
      <alignment horizontal="center"/>
    </xf>
    <xf numFmtId="174" fontId="18" fillId="9" borderId="8" xfId="4" applyNumberFormat="1" applyFont="1" applyFill="1" applyBorder="1" applyAlignment="1">
      <alignment horizontal="center"/>
    </xf>
    <xf numFmtId="0" fontId="11" fillId="0" borderId="12" xfId="13" applyNumberFormat="1" applyFont="1" applyFill="1" applyBorder="1" applyAlignment="1"/>
    <xf numFmtId="10" fontId="18" fillId="15" borderId="12" xfId="1" applyNumberFormat="1" applyFont="1" applyFill="1" applyBorder="1"/>
    <xf numFmtId="182" fontId="18" fillId="15" borderId="12" xfId="0" applyNumberFormat="1" applyFont="1" applyFill="1" applyBorder="1" applyAlignment="1">
      <alignment horizontal="center"/>
    </xf>
    <xf numFmtId="182" fontId="11" fillId="0" borderId="8" xfId="0" applyNumberFormat="1" applyFont="1" applyBorder="1" applyAlignment="1">
      <alignment horizontal="center"/>
    </xf>
    <xf numFmtId="182" fontId="11" fillId="9" borderId="8" xfId="0" applyNumberFormat="1" applyFont="1" applyFill="1" applyBorder="1" applyAlignment="1">
      <alignment horizontal="center"/>
    </xf>
    <xf numFmtId="182" fontId="11" fillId="0" borderId="8" xfId="0" applyNumberFormat="1" applyFont="1" applyFill="1" applyBorder="1" applyAlignment="1">
      <alignment horizontal="center"/>
    </xf>
    <xf numFmtId="0" fontId="0" fillId="0" borderId="9" xfId="0" applyBorder="1" applyAlignment="1">
      <alignment horizontal="centerContinuous"/>
    </xf>
    <xf numFmtId="0" fontId="0" fillId="0" borderId="24" xfId="0" applyBorder="1" applyAlignment="1">
      <alignment horizontal="center"/>
    </xf>
    <xf numFmtId="186" fontId="0" fillId="0" borderId="26" xfId="0" applyNumberFormat="1" applyBorder="1"/>
    <xf numFmtId="186" fontId="0" fillId="0" borderId="40" xfId="0" applyNumberFormat="1" applyBorder="1"/>
    <xf numFmtId="0" fontId="11" fillId="0" borderId="0" xfId="3" applyNumberFormat="1" applyFont="1" applyFill="1"/>
    <xf numFmtId="10" fontId="18" fillId="0" borderId="12" xfId="5" applyNumberFormat="1" applyFont="1" applyFill="1" applyBorder="1"/>
    <xf numFmtId="176" fontId="18" fillId="0" borderId="11" xfId="4" applyNumberFormat="1" applyFont="1" applyFill="1" applyBorder="1" applyAlignment="1"/>
    <xf numFmtId="176" fontId="18" fillId="0" borderId="12" xfId="4" applyNumberFormat="1" applyFont="1" applyFill="1" applyBorder="1" applyAlignment="1"/>
    <xf numFmtId="43" fontId="18" fillId="0" borderId="13" xfId="3" applyFont="1" applyFill="1" applyBorder="1"/>
    <xf numFmtId="171" fontId="11" fillId="0" borderId="0" xfId="0" applyNumberFormat="1" applyFont="1"/>
    <xf numFmtId="164" fontId="18" fillId="5" borderId="4" xfId="0" applyNumberFormat="1" applyFont="1" applyFill="1" applyBorder="1"/>
    <xf numFmtId="173" fontId="18" fillId="5" borderId="0" xfId="4" applyNumberFormat="1" applyFont="1" applyFill="1" applyBorder="1"/>
    <xf numFmtId="172" fontId="11" fillId="5" borderId="12" xfId="12" applyNumberFormat="1" applyFont="1" applyFill="1" applyBorder="1" applyAlignment="1">
      <alignment horizontal="center"/>
    </xf>
    <xf numFmtId="172" fontId="11" fillId="4" borderId="12" xfId="12" applyNumberFormat="1" applyFont="1" applyFill="1" applyBorder="1" applyAlignment="1">
      <alignment horizontal="center"/>
    </xf>
    <xf numFmtId="172" fontId="11" fillId="2" borderId="12" xfId="12" applyNumberFormat="1" applyFont="1" applyFill="1" applyBorder="1" applyAlignment="1">
      <alignment horizontal="center"/>
    </xf>
    <xf numFmtId="172" fontId="11" fillId="6" borderId="12" xfId="12" applyNumberFormat="1" applyFont="1" applyFill="1" applyBorder="1" applyAlignment="1">
      <alignment horizontal="center"/>
    </xf>
    <xf numFmtId="172" fontId="11" fillId="0" borderId="13" xfId="12" applyNumberFormat="1" applyFont="1" applyBorder="1" applyAlignment="1">
      <alignment horizontal="center"/>
    </xf>
    <xf numFmtId="172" fontId="11" fillId="0" borderId="0" xfId="12" applyNumberFormat="1" applyFont="1" applyBorder="1" applyAlignment="1">
      <alignment horizontal="center"/>
    </xf>
    <xf numFmtId="172" fontId="11" fillId="10" borderId="12" xfId="12" applyNumberFormat="1" applyFont="1" applyFill="1" applyBorder="1" applyAlignment="1">
      <alignment horizontal="center"/>
    </xf>
    <xf numFmtId="10" fontId="11" fillId="0" borderId="11" xfId="1" applyNumberFormat="1" applyFont="1" applyBorder="1" applyAlignment="1"/>
    <xf numFmtId="0" fontId="0" fillId="0" borderId="0" xfId="0" applyAlignment="1">
      <alignment horizontal="centerContinuous"/>
    </xf>
    <xf numFmtId="172" fontId="11" fillId="0" borderId="12" xfId="0" applyNumberFormat="1" applyFont="1" applyFill="1" applyBorder="1"/>
    <xf numFmtId="172" fontId="11" fillId="0" borderId="12" xfId="0" applyNumberFormat="1" applyFont="1" applyBorder="1"/>
    <xf numFmtId="183" fontId="18" fillId="0" borderId="11" xfId="3" applyNumberFormat="1" applyFont="1" applyBorder="1"/>
    <xf numFmtId="164" fontId="18" fillId="0" borderId="11" xfId="0" applyNumberFormat="1" applyFont="1" applyBorder="1"/>
    <xf numFmtId="0" fontId="4" fillId="0" borderId="0" xfId="0" applyFont="1"/>
    <xf numFmtId="0" fontId="4" fillId="7" borderId="17" xfId="0" applyFont="1" applyFill="1" applyBorder="1" applyAlignment="1">
      <alignment horizontal="centerContinuous"/>
    </xf>
    <xf numFmtId="0" fontId="4" fillId="7" borderId="18" xfId="0" applyFont="1" applyFill="1" applyBorder="1" applyAlignment="1">
      <alignment horizontal="centerContinuous"/>
    </xf>
    <xf numFmtId="0" fontId="4" fillId="7" borderId="0" xfId="0" applyFont="1" applyFill="1" applyAlignment="1">
      <alignment horizontal="centerContinuous"/>
    </xf>
    <xf numFmtId="0" fontId="4" fillId="7" borderId="19" xfId="0" applyFont="1" applyFill="1" applyBorder="1"/>
    <xf numFmtId="0" fontId="4" fillId="0" borderId="0" xfId="0" applyFont="1" applyFill="1" applyBorder="1"/>
    <xf numFmtId="0" fontId="4" fillId="0" borderId="0" xfId="0" applyFont="1" applyBorder="1"/>
    <xf numFmtId="0" fontId="4" fillId="0" borderId="15" xfId="0" applyFont="1" applyBorder="1"/>
    <xf numFmtId="0" fontId="4" fillId="7" borderId="20" xfId="0" applyFont="1" applyFill="1" applyBorder="1"/>
    <xf numFmtId="0" fontId="4" fillId="7" borderId="29" xfId="0" applyFont="1" applyFill="1" applyBorder="1"/>
    <xf numFmtId="0" fontId="4" fillId="0" borderId="9" xfId="0" applyFont="1" applyBorder="1" applyAlignment="1">
      <alignment horizontal="centerContinuous"/>
    </xf>
    <xf numFmtId="0" fontId="4" fillId="0" borderId="14" xfId="0" applyFont="1" applyBorder="1" applyAlignment="1">
      <alignment horizontal="centerContinuous"/>
    </xf>
    <xf numFmtId="0" fontId="4" fillId="0" borderId="10" xfId="0" applyFont="1" applyBorder="1" applyAlignment="1">
      <alignment horizontal="centerContinuous"/>
    </xf>
    <xf numFmtId="0" fontId="4" fillId="7" borderId="30" xfId="0" applyFont="1" applyFill="1" applyBorder="1"/>
    <xf numFmtId="0" fontId="4" fillId="7" borderId="0" xfId="0" applyFont="1" applyFill="1"/>
    <xf numFmtId="0" fontId="4" fillId="5" borderId="0" xfId="0" applyFont="1" applyFill="1"/>
    <xf numFmtId="0" fontId="4" fillId="0" borderId="8" xfId="0" applyFont="1" applyBorder="1" applyAlignment="1">
      <alignment horizontal="center"/>
    </xf>
    <xf numFmtId="0" fontId="4" fillId="5" borderId="9" xfId="0" applyFont="1" applyFill="1" applyBorder="1" applyAlignment="1">
      <alignment horizontal="centerContinuous"/>
    </xf>
    <xf numFmtId="0" fontId="4" fillId="5" borderId="14" xfId="0" applyFont="1" applyFill="1" applyBorder="1" applyAlignment="1">
      <alignment horizontal="centerContinuous"/>
    </xf>
    <xf numFmtId="0" fontId="4" fillId="5" borderId="10" xfId="0" applyFont="1" applyFill="1" applyBorder="1" applyAlignment="1">
      <alignment horizontal="centerContinuous"/>
    </xf>
    <xf numFmtId="0" fontId="4" fillId="5" borderId="11" xfId="0" applyFont="1" applyFill="1" applyBorder="1"/>
    <xf numFmtId="176" fontId="4" fillId="5" borderId="11" xfId="4" applyNumberFormat="1" applyFont="1" applyFill="1" applyBorder="1"/>
    <xf numFmtId="0" fontId="4" fillId="0" borderId="11" xfId="0" applyFont="1" applyBorder="1" applyAlignment="1">
      <alignment horizontal="left" indent="2"/>
    </xf>
    <xf numFmtId="0" fontId="4" fillId="0" borderId="11" xfId="0" applyFont="1" applyBorder="1"/>
    <xf numFmtId="0" fontId="4" fillId="5" borderId="3" xfId="0" applyFont="1" applyFill="1" applyBorder="1"/>
    <xf numFmtId="0" fontId="4" fillId="5" borderId="0" xfId="0" applyFont="1" applyFill="1" applyBorder="1"/>
    <xf numFmtId="0" fontId="4" fillId="5" borderId="7" xfId="0" applyFont="1" applyFill="1" applyBorder="1" applyAlignment="1">
      <alignment horizontal="centerContinuous"/>
    </xf>
    <xf numFmtId="0" fontId="4" fillId="5" borderId="6" xfId="0" applyFont="1" applyFill="1" applyBorder="1" applyAlignment="1">
      <alignment horizontal="centerContinuous"/>
    </xf>
    <xf numFmtId="164" fontId="4" fillId="5" borderId="2" xfId="0" applyNumberFormat="1" applyFont="1" applyFill="1" applyBorder="1"/>
    <xf numFmtId="0" fontId="4" fillId="0" borderId="13" xfId="0" applyFont="1" applyBorder="1"/>
    <xf numFmtId="176" fontId="4" fillId="0" borderId="13" xfId="4" applyNumberFormat="1" applyFont="1" applyBorder="1"/>
    <xf numFmtId="0" fontId="4" fillId="0" borderId="12" xfId="0" applyFont="1" applyBorder="1" applyAlignment="1">
      <alignment horizontal="left" indent="2"/>
    </xf>
    <xf numFmtId="0" fontId="4" fillId="0" borderId="12" xfId="0" applyFont="1" applyBorder="1"/>
    <xf numFmtId="173" fontId="4" fillId="5" borderId="0" xfId="4" applyNumberFormat="1" applyFont="1" applyFill="1"/>
    <xf numFmtId="44" fontId="4" fillId="5" borderId="0" xfId="4" applyFont="1" applyFill="1" applyBorder="1"/>
    <xf numFmtId="0" fontId="4" fillId="5" borderId="4" xfId="0" applyFont="1" applyFill="1" applyBorder="1"/>
    <xf numFmtId="169" fontId="4" fillId="0" borderId="0" xfId="0" applyNumberFormat="1" applyFont="1"/>
    <xf numFmtId="164" fontId="4" fillId="0" borderId="12" xfId="0" applyNumberFormat="1" applyFont="1" applyBorder="1"/>
    <xf numFmtId="44" fontId="4" fillId="5" borderId="0" xfId="4" applyFont="1" applyFill="1"/>
    <xf numFmtId="173" fontId="4" fillId="5" borderId="0" xfId="4" applyNumberFormat="1" applyFont="1" applyFill="1" applyBorder="1"/>
    <xf numFmtId="44" fontId="4" fillId="5" borderId="4" xfId="4" applyFont="1" applyFill="1" applyBorder="1"/>
    <xf numFmtId="0" fontId="4" fillId="0" borderId="13" xfId="0" applyFont="1" applyBorder="1" applyAlignment="1">
      <alignment horizontal="left" indent="2"/>
    </xf>
    <xf numFmtId="164" fontId="4" fillId="0" borderId="13" xfId="0" applyNumberFormat="1" applyFont="1" applyBorder="1"/>
    <xf numFmtId="169" fontId="4" fillId="5" borderId="4" xfId="4" applyNumberFormat="1" applyFont="1" applyFill="1" applyBorder="1"/>
    <xf numFmtId="44" fontId="4" fillId="0" borderId="0" xfId="4" applyFont="1" applyBorder="1"/>
    <xf numFmtId="0" fontId="4" fillId="5" borderId="5" xfId="0" applyFont="1" applyFill="1" applyBorder="1"/>
    <xf numFmtId="0" fontId="4" fillId="5" borderId="7" xfId="0" applyFont="1" applyFill="1" applyBorder="1"/>
    <xf numFmtId="169" fontId="4" fillId="5" borderId="6" xfId="4" applyNumberFormat="1" applyFont="1" applyFill="1" applyBorder="1"/>
    <xf numFmtId="44" fontId="4" fillId="0" borderId="9" xfId="4" applyFont="1" applyBorder="1" applyAlignment="1">
      <alignment horizontal="centerContinuous"/>
    </xf>
    <xf numFmtId="0" fontId="4" fillId="0" borderId="11" xfId="0" applyFont="1" applyFill="1" applyBorder="1" applyAlignment="1">
      <alignment horizontal="right"/>
    </xf>
    <xf numFmtId="169" fontId="4" fillId="5" borderId="6" xfId="0" applyNumberFormat="1" applyFont="1" applyFill="1" applyBorder="1"/>
    <xf numFmtId="0" fontId="4" fillId="0" borderId="13" xfId="0" applyFont="1" applyFill="1" applyBorder="1" applyAlignment="1">
      <alignment horizontal="right"/>
    </xf>
    <xf numFmtId="10" fontId="4" fillId="5" borderId="0" xfId="0" applyNumberFormat="1" applyFont="1" applyFill="1"/>
    <xf numFmtId="9" fontId="4" fillId="5" borderId="0" xfId="0" applyNumberFormat="1" applyFont="1" applyFill="1" applyAlignment="1">
      <alignment horizontal="right"/>
    </xf>
    <xf numFmtId="169" fontId="4" fillId="5" borderId="0" xfId="0" applyNumberFormat="1" applyFont="1" applyFill="1"/>
    <xf numFmtId="169" fontId="4" fillId="0" borderId="0" xfId="0" applyNumberFormat="1" applyFont="1" applyBorder="1"/>
    <xf numFmtId="0" fontId="4" fillId="5" borderId="1" xfId="0" applyFont="1" applyFill="1" applyBorder="1"/>
    <xf numFmtId="0" fontId="4" fillId="5" borderId="15" xfId="0" applyFont="1" applyFill="1" applyBorder="1"/>
    <xf numFmtId="9" fontId="4" fillId="5" borderId="15" xfId="0" applyNumberFormat="1" applyFont="1" applyFill="1" applyBorder="1" applyAlignment="1">
      <alignment horizontal="right"/>
    </xf>
    <xf numFmtId="169" fontId="4" fillId="5" borderId="2" xfId="0" applyNumberFormat="1" applyFont="1" applyFill="1" applyBorder="1"/>
    <xf numFmtId="164" fontId="4" fillId="5" borderId="0" xfId="0" applyNumberFormat="1" applyFont="1" applyFill="1" applyBorder="1"/>
    <xf numFmtId="9" fontId="4" fillId="5" borderId="0" xfId="0" applyNumberFormat="1" applyFont="1" applyFill="1" applyBorder="1" applyAlignment="1">
      <alignment horizontal="right"/>
    </xf>
    <xf numFmtId="169" fontId="4" fillId="5" borderId="4" xfId="0" applyNumberFormat="1" applyFont="1" applyFill="1" applyBorder="1"/>
    <xf numFmtId="169" fontId="4" fillId="0" borderId="10" xfId="0" applyNumberFormat="1" applyFont="1" applyBorder="1" applyAlignment="1">
      <alignment horizontal="centerContinuous"/>
    </xf>
    <xf numFmtId="0" fontId="4" fillId="0" borderId="1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71" fontId="4" fillId="5" borderId="4" xfId="1" applyNumberFormat="1" applyFont="1" applyFill="1" applyBorder="1"/>
    <xf numFmtId="0" fontId="4" fillId="0" borderId="9" xfId="0" applyFont="1" applyBorder="1" applyAlignment="1">
      <alignment horizontal="center"/>
    </xf>
    <xf numFmtId="169" fontId="4" fillId="0" borderId="10" xfId="0" applyNumberFormat="1" applyFont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169" fontId="4" fillId="5" borderId="0" xfId="4" applyNumberFormat="1" applyFont="1" applyFill="1" applyBorder="1"/>
    <xf numFmtId="0" fontId="4" fillId="0" borderId="11" xfId="0" applyFont="1" applyBorder="1" applyAlignment="1">
      <alignment horizontal="left" indent="5"/>
    </xf>
    <xf numFmtId="9" fontId="4" fillId="0" borderId="11" xfId="0" applyNumberFormat="1" applyFont="1" applyBorder="1" applyAlignment="1">
      <alignment horizontal="center"/>
    </xf>
    <xf numFmtId="9" fontId="4" fillId="0" borderId="0" xfId="0" applyNumberFormat="1" applyFont="1" applyBorder="1" applyAlignment="1">
      <alignment horizontal="center"/>
    </xf>
    <xf numFmtId="9" fontId="4" fillId="0" borderId="0" xfId="0" applyNumberFormat="1" applyFont="1" applyFill="1" applyBorder="1" applyAlignment="1">
      <alignment horizontal="center"/>
    </xf>
    <xf numFmtId="10" fontId="4" fillId="7" borderId="30" xfId="1" applyNumberFormat="1" applyFont="1" applyFill="1" applyBorder="1"/>
    <xf numFmtId="44" fontId="4" fillId="5" borderId="0" xfId="0" applyNumberFormat="1" applyFont="1" applyFill="1" applyBorder="1"/>
    <xf numFmtId="0" fontId="4" fillId="0" borderId="12" xfId="0" applyFont="1" applyBorder="1" applyAlignment="1">
      <alignment horizontal="left" indent="5"/>
    </xf>
    <xf numFmtId="170" fontId="4" fillId="0" borderId="12" xfId="0" applyNumberFormat="1" applyFont="1" applyBorder="1"/>
    <xf numFmtId="9" fontId="4" fillId="0" borderId="12" xfId="0" applyNumberFormat="1" applyFont="1" applyBorder="1" applyAlignment="1">
      <alignment horizontal="center"/>
    </xf>
    <xf numFmtId="171" fontId="4" fillId="5" borderId="6" xfId="0" applyNumberFormat="1" applyFont="1" applyFill="1" applyBorder="1"/>
    <xf numFmtId="0" fontId="4" fillId="0" borderId="13" xfId="0" applyFont="1" applyBorder="1" applyAlignment="1">
      <alignment horizontal="left" indent="5"/>
    </xf>
    <xf numFmtId="170" fontId="4" fillId="0" borderId="13" xfId="0" applyNumberFormat="1" applyFont="1" applyBorder="1"/>
    <xf numFmtId="9" fontId="4" fillId="0" borderId="13" xfId="0" applyNumberFormat="1" applyFont="1" applyBorder="1" applyAlignment="1">
      <alignment horizontal="center"/>
    </xf>
    <xf numFmtId="9" fontId="4" fillId="0" borderId="0" xfId="0" applyNumberFormat="1" applyFont="1" applyBorder="1" applyAlignment="1">
      <alignment horizontal="right"/>
    </xf>
    <xf numFmtId="0" fontId="4" fillId="5" borderId="2" xfId="0" applyFont="1" applyFill="1" applyBorder="1"/>
    <xf numFmtId="169" fontId="4" fillId="8" borderId="14" xfId="0" applyNumberFormat="1" applyFont="1" applyFill="1" applyBorder="1" applyAlignment="1">
      <alignment horizontal="centerContinuous"/>
    </xf>
    <xf numFmtId="0" fontId="4" fillId="8" borderId="10" xfId="0" applyFont="1" applyFill="1" applyBorder="1" applyAlignment="1">
      <alignment horizontal="centerContinuous"/>
    </xf>
    <xf numFmtId="0" fontId="4" fillId="0" borderId="0" xfId="0" applyFont="1" applyFill="1" applyBorder="1" applyAlignment="1">
      <alignment horizontal="centerContinuous"/>
    </xf>
    <xf numFmtId="0" fontId="4" fillId="8" borderId="8" xfId="0" applyFont="1" applyFill="1" applyBorder="1" applyAlignment="1">
      <alignment horizontal="center"/>
    </xf>
    <xf numFmtId="0" fontId="4" fillId="8" borderId="12" xfId="0" applyFont="1" applyFill="1" applyBorder="1" applyAlignment="1">
      <alignment horizontal="left" indent="2"/>
    </xf>
    <xf numFmtId="174" fontId="4" fillId="8" borderId="11" xfId="4" applyNumberFormat="1" applyFont="1" applyFill="1" applyBorder="1"/>
    <xf numFmtId="0" fontId="4" fillId="8" borderId="11" xfId="0" applyFont="1" applyFill="1" applyBorder="1"/>
    <xf numFmtId="44" fontId="4" fillId="8" borderId="11" xfId="4" applyFont="1" applyFill="1" applyBorder="1"/>
    <xf numFmtId="44" fontId="4" fillId="0" borderId="0" xfId="4" applyFont="1" applyFill="1" applyBorder="1"/>
    <xf numFmtId="170" fontId="4" fillId="8" borderId="12" xfId="4" applyNumberFormat="1" applyFont="1" applyFill="1" applyBorder="1"/>
    <xf numFmtId="0" fontId="4" fillId="8" borderId="12" xfId="0" applyFont="1" applyFill="1" applyBorder="1"/>
    <xf numFmtId="44" fontId="4" fillId="8" borderId="12" xfId="4" applyFont="1" applyFill="1" applyBorder="1"/>
    <xf numFmtId="0" fontId="4" fillId="8" borderId="13" xfId="0" applyFont="1" applyFill="1" applyBorder="1" applyAlignment="1">
      <alignment horizontal="left" indent="2"/>
    </xf>
    <xf numFmtId="174" fontId="4" fillId="8" borderId="13" xfId="4" applyNumberFormat="1" applyFont="1" applyFill="1" applyBorder="1"/>
    <xf numFmtId="0" fontId="4" fillId="8" borderId="13" xfId="0" applyFont="1" applyFill="1" applyBorder="1"/>
    <xf numFmtId="44" fontId="4" fillId="8" borderId="13" xfId="4" applyFont="1" applyFill="1" applyBorder="1"/>
    <xf numFmtId="0" fontId="4" fillId="0" borderId="0" xfId="0" applyFont="1" applyBorder="1" applyAlignment="1">
      <alignment horizontal="right"/>
    </xf>
    <xf numFmtId="170" fontId="4" fillId="0" borderId="0" xfId="4" applyNumberFormat="1" applyFont="1" applyBorder="1"/>
    <xf numFmtId="170" fontId="4" fillId="0" borderId="0" xfId="4" applyNumberFormat="1" applyFont="1" applyFill="1" applyBorder="1"/>
    <xf numFmtId="169" fontId="4" fillId="10" borderId="14" xfId="0" applyNumberFormat="1" applyFont="1" applyFill="1" applyBorder="1" applyAlignment="1">
      <alignment horizontal="centerContinuous"/>
    </xf>
    <xf numFmtId="0" fontId="4" fillId="10" borderId="10" xfId="0" applyFont="1" applyFill="1" applyBorder="1" applyAlignment="1">
      <alignment horizontal="centerContinuous"/>
    </xf>
    <xf numFmtId="0" fontId="4" fillId="10" borderId="8" xfId="0" applyFont="1" applyFill="1" applyBorder="1" applyAlignment="1">
      <alignment horizontal="center"/>
    </xf>
    <xf numFmtId="0" fontId="4" fillId="10" borderId="12" xfId="0" applyFont="1" applyFill="1" applyBorder="1" applyAlignment="1">
      <alignment horizontal="left" indent="2"/>
    </xf>
    <xf numFmtId="44" fontId="4" fillId="10" borderId="11" xfId="4" applyFont="1" applyFill="1" applyBorder="1"/>
    <xf numFmtId="0" fontId="4" fillId="10" borderId="11" xfId="0" applyFont="1" applyFill="1" applyBorder="1"/>
    <xf numFmtId="170" fontId="4" fillId="10" borderId="12" xfId="4" applyNumberFormat="1" applyFont="1" applyFill="1" applyBorder="1"/>
    <xf numFmtId="0" fontId="4" fillId="10" borderId="12" xfId="0" applyFont="1" applyFill="1" applyBorder="1"/>
    <xf numFmtId="44" fontId="4" fillId="10" borderId="12" xfId="4" applyFont="1" applyFill="1" applyBorder="1"/>
    <xf numFmtId="0" fontId="4" fillId="10" borderId="13" xfId="0" applyFont="1" applyFill="1" applyBorder="1" applyAlignment="1">
      <alignment horizontal="left" indent="2"/>
    </xf>
    <xf numFmtId="44" fontId="4" fillId="10" borderId="13" xfId="4" applyFont="1" applyFill="1" applyBorder="1"/>
    <xf numFmtId="0" fontId="4" fillId="10" borderId="13" xfId="0" applyFont="1" applyFill="1" applyBorder="1"/>
    <xf numFmtId="169" fontId="4" fillId="9" borderId="14" xfId="0" applyNumberFormat="1" applyFont="1" applyFill="1" applyBorder="1" applyAlignment="1">
      <alignment horizontal="centerContinuous"/>
    </xf>
    <xf numFmtId="0" fontId="4" fillId="9" borderId="10" xfId="0" applyFont="1" applyFill="1" applyBorder="1" applyAlignment="1">
      <alignment horizontal="centerContinuous"/>
    </xf>
    <xf numFmtId="169" fontId="4" fillId="5" borderId="14" xfId="0" applyNumberFormat="1" applyFont="1" applyFill="1" applyBorder="1" applyAlignment="1">
      <alignment horizontal="centerContinuous"/>
    </xf>
    <xf numFmtId="0" fontId="4" fillId="9" borderId="8" xfId="0" applyFont="1" applyFill="1" applyBorder="1" applyAlignment="1">
      <alignment horizontal="center"/>
    </xf>
    <xf numFmtId="0" fontId="4" fillId="5" borderId="11" xfId="0" applyFont="1" applyFill="1" applyBorder="1" applyAlignment="1">
      <alignment horizontal="right"/>
    </xf>
    <xf numFmtId="169" fontId="4" fillId="5" borderId="11" xfId="0" applyNumberFormat="1" applyFont="1" applyFill="1" applyBorder="1"/>
    <xf numFmtId="9" fontId="4" fillId="5" borderId="11" xfId="0" applyNumberFormat="1" applyFont="1" applyFill="1" applyBorder="1"/>
    <xf numFmtId="169" fontId="4" fillId="5" borderId="11" xfId="4" applyNumberFormat="1" applyFont="1" applyFill="1" applyBorder="1"/>
    <xf numFmtId="0" fontId="4" fillId="9" borderId="12" xfId="0" applyFont="1" applyFill="1" applyBorder="1" applyAlignment="1">
      <alignment horizontal="left" indent="2"/>
    </xf>
    <xf numFmtId="44" fontId="4" fillId="9" borderId="11" xfId="4" applyFont="1" applyFill="1" applyBorder="1"/>
    <xf numFmtId="0" fontId="4" fillId="9" borderId="11" xfId="0" applyFont="1" applyFill="1" applyBorder="1"/>
    <xf numFmtId="0" fontId="4" fillId="5" borderId="12" xfId="0" applyFont="1" applyFill="1" applyBorder="1" applyAlignment="1">
      <alignment horizontal="right"/>
    </xf>
    <xf numFmtId="169" fontId="4" fillId="5" borderId="12" xfId="0" applyNumberFormat="1" applyFont="1" applyFill="1" applyBorder="1"/>
    <xf numFmtId="9" fontId="4" fillId="5" borderId="12" xfId="0" applyNumberFormat="1" applyFont="1" applyFill="1" applyBorder="1"/>
    <xf numFmtId="169" fontId="4" fillId="5" borderId="12" xfId="4" applyNumberFormat="1" applyFont="1" applyFill="1" applyBorder="1"/>
    <xf numFmtId="170" fontId="4" fillId="9" borderId="12" xfId="4" applyNumberFormat="1" applyFont="1" applyFill="1" applyBorder="1"/>
    <xf numFmtId="0" fontId="4" fillId="9" borderId="12" xfId="0" applyFont="1" applyFill="1" applyBorder="1"/>
    <xf numFmtId="44" fontId="4" fillId="9" borderId="12" xfId="4" applyFont="1" applyFill="1" applyBorder="1"/>
    <xf numFmtId="0" fontId="4" fillId="5" borderId="13" xfId="0" applyFont="1" applyFill="1" applyBorder="1" applyAlignment="1">
      <alignment horizontal="right"/>
    </xf>
    <xf numFmtId="169" fontId="4" fillId="5" borderId="13" xfId="0" applyNumberFormat="1" applyFont="1" applyFill="1" applyBorder="1"/>
    <xf numFmtId="9" fontId="4" fillId="5" borderId="13" xfId="0" applyNumberFormat="1" applyFont="1" applyFill="1" applyBorder="1"/>
    <xf numFmtId="169" fontId="4" fillId="5" borderId="13" xfId="4" applyNumberFormat="1" applyFont="1" applyFill="1" applyBorder="1"/>
    <xf numFmtId="0" fontId="4" fillId="9" borderId="13" xfId="0" applyFont="1" applyFill="1" applyBorder="1" applyAlignment="1">
      <alignment horizontal="left" indent="2"/>
    </xf>
    <xf numFmtId="44" fontId="4" fillId="9" borderId="13" xfId="4" applyFont="1" applyFill="1" applyBorder="1"/>
    <xf numFmtId="0" fontId="4" fillId="9" borderId="13" xfId="0" applyFont="1" applyFill="1" applyBorder="1"/>
    <xf numFmtId="0" fontId="4" fillId="7" borderId="31" xfId="0" applyFont="1" applyFill="1" applyBorder="1"/>
    <xf numFmtId="0" fontId="4" fillId="7" borderId="32" xfId="0" applyFont="1" applyFill="1" applyBorder="1"/>
    <xf numFmtId="0" fontId="4" fillId="7" borderId="33" xfId="0" applyFont="1" applyFill="1" applyBorder="1"/>
    <xf numFmtId="0" fontId="4" fillId="12" borderId="35" xfId="0" applyFont="1" applyFill="1" applyBorder="1"/>
    <xf numFmtId="0" fontId="4" fillId="12" borderId="37" xfId="0" applyFont="1" applyFill="1" applyBorder="1" applyAlignment="1">
      <alignment horizontal="centerContinuous"/>
    </xf>
    <xf numFmtId="0" fontId="4" fillId="12" borderId="36" xfId="0" applyFont="1" applyFill="1" applyBorder="1" applyAlignment="1">
      <alignment horizontal="centerContinuous"/>
    </xf>
    <xf numFmtId="0" fontId="4" fillId="5" borderId="17" xfId="0" applyFont="1" applyFill="1" applyBorder="1" applyAlignment="1">
      <alignment horizontal="centerContinuous"/>
    </xf>
    <xf numFmtId="0" fontId="4" fillId="5" borderId="18" xfId="0" applyFont="1" applyFill="1" applyBorder="1" applyAlignment="1">
      <alignment horizontal="centerContinuous"/>
    </xf>
    <xf numFmtId="0" fontId="4" fillId="12" borderId="29" xfId="0" applyFont="1" applyFill="1" applyBorder="1"/>
    <xf numFmtId="0" fontId="4" fillId="12" borderId="0" xfId="0" applyFont="1" applyFill="1" applyBorder="1"/>
    <xf numFmtId="0" fontId="4" fillId="12" borderId="30" xfId="0" applyFont="1" applyFill="1" applyBorder="1"/>
    <xf numFmtId="0" fontId="4" fillId="5" borderId="19" xfId="0" applyFont="1" applyFill="1" applyBorder="1"/>
    <xf numFmtId="0" fontId="4" fillId="5" borderId="20" xfId="0" applyFont="1" applyFill="1" applyBorder="1"/>
    <xf numFmtId="0" fontId="4" fillId="11" borderId="21" xfId="0" applyFont="1" applyFill="1" applyBorder="1" applyAlignment="1">
      <alignment horizontal="centerContinuous"/>
    </xf>
    <xf numFmtId="0" fontId="4" fillId="11" borderId="14" xfId="0" applyFont="1" applyFill="1" applyBorder="1" applyAlignment="1">
      <alignment horizontal="centerContinuous"/>
    </xf>
    <xf numFmtId="0" fontId="4" fillId="11" borderId="10" xfId="0" applyFont="1" applyFill="1" applyBorder="1" applyAlignment="1">
      <alignment horizontal="centerContinuous"/>
    </xf>
    <xf numFmtId="0" fontId="4" fillId="11" borderId="9" xfId="0" applyFont="1" applyFill="1" applyBorder="1" applyAlignment="1">
      <alignment horizontal="centerContinuous"/>
    </xf>
    <xf numFmtId="0" fontId="4" fillId="11" borderId="22" xfId="0" applyFont="1" applyFill="1" applyBorder="1" applyAlignment="1">
      <alignment horizontal="centerContinuous"/>
    </xf>
    <xf numFmtId="0" fontId="4" fillId="8" borderId="9" xfId="0" applyFont="1" applyFill="1" applyBorder="1" applyAlignment="1">
      <alignment horizontal="centerContinuous"/>
    </xf>
    <xf numFmtId="44" fontId="4" fillId="8" borderId="14" xfId="4" applyFont="1" applyFill="1" applyBorder="1" applyAlignment="1">
      <alignment horizontal="centerContinuous"/>
    </xf>
    <xf numFmtId="0" fontId="4" fillId="12" borderId="30" xfId="0" applyFont="1" applyFill="1" applyBorder="1" applyAlignment="1">
      <alignment horizontal="centerContinuous"/>
    </xf>
    <xf numFmtId="0" fontId="4" fillId="5" borderId="23" xfId="0" applyFont="1" applyFill="1" applyBorder="1"/>
    <xf numFmtId="0" fontId="4" fillId="5" borderId="11" xfId="0" quotePrefix="1" applyFont="1" applyFill="1" applyBorder="1"/>
    <xf numFmtId="0" fontId="4" fillId="5" borderId="11" xfId="0" applyFont="1" applyFill="1" applyBorder="1" applyAlignment="1"/>
    <xf numFmtId="164" fontId="4" fillId="5" borderId="11" xfId="3" applyNumberFormat="1" applyFont="1" applyFill="1" applyBorder="1" applyAlignment="1"/>
    <xf numFmtId="0" fontId="4" fillId="5" borderId="24" xfId="0" applyFont="1" applyFill="1" applyBorder="1" applyAlignment="1"/>
    <xf numFmtId="0" fontId="4" fillId="8" borderId="1" xfId="0" applyFont="1" applyFill="1" applyBorder="1"/>
    <xf numFmtId="164" fontId="4" fillId="8" borderId="11" xfId="3" applyNumberFormat="1" applyFont="1" applyFill="1" applyBorder="1"/>
    <xf numFmtId="0" fontId="4" fillId="5" borderId="25" xfId="0" applyFont="1" applyFill="1" applyBorder="1"/>
    <xf numFmtId="0" fontId="4" fillId="5" borderId="12" xfId="0" quotePrefix="1" applyFont="1" applyFill="1" applyBorder="1"/>
    <xf numFmtId="0" fontId="4" fillId="5" borderId="12" xfId="0" applyFont="1" applyFill="1" applyBorder="1" applyAlignment="1"/>
    <xf numFmtId="10" fontId="4" fillId="5" borderId="12" xfId="0" applyNumberFormat="1" applyFont="1" applyFill="1" applyBorder="1" applyAlignment="1"/>
    <xf numFmtId="0" fontId="4" fillId="5" borderId="26" xfId="0" applyFont="1" applyFill="1" applyBorder="1" applyAlignment="1"/>
    <xf numFmtId="0" fontId="4" fillId="8" borderId="3" xfId="0" applyFont="1" applyFill="1" applyBorder="1"/>
    <xf numFmtId="10" fontId="4" fillId="8" borderId="12" xfId="0" applyNumberFormat="1" applyFont="1" applyFill="1" applyBorder="1"/>
    <xf numFmtId="164" fontId="4" fillId="5" borderId="12" xfId="0" applyNumberFormat="1" applyFont="1" applyFill="1" applyBorder="1" applyAlignment="1"/>
    <xf numFmtId="0" fontId="4" fillId="8" borderId="5" xfId="0" applyFont="1" applyFill="1" applyBorder="1"/>
    <xf numFmtId="164" fontId="4" fillId="8" borderId="12" xfId="0" applyNumberFormat="1" applyFont="1" applyFill="1" applyBorder="1"/>
    <xf numFmtId="0" fontId="4" fillId="5" borderId="27" xfId="0" applyFont="1" applyFill="1" applyBorder="1"/>
    <xf numFmtId="0" fontId="4" fillId="5" borderId="13" xfId="0" quotePrefix="1" applyFont="1" applyFill="1" applyBorder="1"/>
    <xf numFmtId="0" fontId="4" fillId="5" borderId="13" xfId="0" applyFont="1" applyFill="1" applyBorder="1" applyAlignment="1"/>
    <xf numFmtId="164" fontId="4" fillId="5" borderId="13" xfId="0" applyNumberFormat="1" applyFont="1" applyFill="1" applyBorder="1" applyAlignment="1"/>
    <xf numFmtId="0" fontId="4" fillId="5" borderId="28" xfId="0" applyFont="1" applyFill="1" applyBorder="1" applyAlignment="1"/>
    <xf numFmtId="0" fontId="4" fillId="8" borderId="0" xfId="0" applyFont="1" applyFill="1" applyBorder="1"/>
    <xf numFmtId="164" fontId="4" fillId="8" borderId="13" xfId="0" applyNumberFormat="1" applyFont="1" applyFill="1" applyBorder="1"/>
    <xf numFmtId="0" fontId="4" fillId="5" borderId="29" xfId="0" applyFont="1" applyFill="1" applyBorder="1"/>
    <xf numFmtId="0" fontId="4" fillId="5" borderId="0" xfId="0" applyFont="1" applyFill="1" applyBorder="1" applyAlignment="1">
      <alignment horizontal="right"/>
    </xf>
    <xf numFmtId="174" fontId="4" fillId="5" borderId="0" xfId="0" applyNumberFormat="1" applyFont="1" applyFill="1" applyBorder="1"/>
    <xf numFmtId="0" fontId="4" fillId="5" borderId="30" xfId="0" applyFont="1" applyFill="1" applyBorder="1"/>
    <xf numFmtId="0" fontId="4" fillId="8" borderId="0" xfId="0" applyFont="1" applyFill="1" applyBorder="1" applyAlignment="1">
      <alignment horizontal="right"/>
    </xf>
    <xf numFmtId="0" fontId="4" fillId="8" borderId="15" xfId="0" applyFont="1" applyFill="1" applyBorder="1" applyAlignment="1">
      <alignment horizontal="right"/>
    </xf>
    <xf numFmtId="44" fontId="4" fillId="8" borderId="0" xfId="0" applyNumberFormat="1" applyFont="1" applyFill="1" applyBorder="1"/>
    <xf numFmtId="175" fontId="4" fillId="5" borderId="0" xfId="0" applyNumberFormat="1" applyFont="1" applyFill="1" applyBorder="1"/>
    <xf numFmtId="177" fontId="4" fillId="8" borderId="0" xfId="4" applyNumberFormat="1" applyFont="1" applyFill="1" applyBorder="1"/>
    <xf numFmtId="170" fontId="4" fillId="5" borderId="0" xfId="0" applyNumberFormat="1" applyFont="1" applyFill="1" applyBorder="1"/>
    <xf numFmtId="0" fontId="4" fillId="10" borderId="9" xfId="0" applyFont="1" applyFill="1" applyBorder="1" applyAlignment="1">
      <alignment horizontal="centerContinuous"/>
    </xf>
    <xf numFmtId="44" fontId="4" fillId="10" borderId="14" xfId="4" applyFont="1" applyFill="1" applyBorder="1" applyAlignment="1">
      <alignment horizontal="centerContinuous"/>
    </xf>
    <xf numFmtId="0" fontId="4" fillId="5" borderId="29" xfId="0" applyFont="1" applyFill="1" applyBorder="1" applyAlignment="1">
      <alignment horizontal="right"/>
    </xf>
    <xf numFmtId="169" fontId="4" fillId="5" borderId="0" xfId="0" applyNumberFormat="1" applyFont="1" applyFill="1" applyBorder="1"/>
    <xf numFmtId="174" fontId="4" fillId="10" borderId="11" xfId="4" applyNumberFormat="1" applyFont="1" applyFill="1" applyBorder="1"/>
    <xf numFmtId="0" fontId="4" fillId="10" borderId="1" xfId="0" applyFont="1" applyFill="1" applyBorder="1"/>
    <xf numFmtId="164" fontId="4" fillId="10" borderId="11" xfId="3" applyNumberFormat="1" applyFont="1" applyFill="1" applyBorder="1"/>
    <xf numFmtId="0" fontId="4" fillId="5" borderId="1" xfId="0" applyFont="1" applyFill="1" applyBorder="1" applyAlignment="1">
      <alignment horizontal="center"/>
    </xf>
    <xf numFmtId="0" fontId="4" fillId="5" borderId="15" xfId="0" applyFont="1" applyFill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 vertical="center"/>
    </xf>
    <xf numFmtId="0" fontId="4" fillId="10" borderId="3" xfId="0" applyFont="1" applyFill="1" applyBorder="1"/>
    <xf numFmtId="10" fontId="4" fillId="10" borderId="12" xfId="0" applyNumberFormat="1" applyFont="1" applyFill="1" applyBorder="1"/>
    <xf numFmtId="0" fontId="4" fillId="5" borderId="5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5" borderId="13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 vertical="center"/>
    </xf>
    <xf numFmtId="174" fontId="4" fillId="10" borderId="13" xfId="4" applyNumberFormat="1" applyFont="1" applyFill="1" applyBorder="1"/>
    <xf numFmtId="0" fontId="4" fillId="10" borderId="5" xfId="0" applyFont="1" applyFill="1" applyBorder="1"/>
    <xf numFmtId="164" fontId="4" fillId="10" borderId="12" xfId="0" applyNumberFormat="1" applyFont="1" applyFill="1" applyBorder="1"/>
    <xf numFmtId="169" fontId="4" fillId="5" borderId="1" xfId="0" applyNumberFormat="1" applyFont="1" applyFill="1" applyBorder="1"/>
    <xf numFmtId="9" fontId="4" fillId="5" borderId="11" xfId="0" applyNumberFormat="1" applyFont="1" applyFill="1" applyBorder="1" applyAlignment="1">
      <alignment horizontal="center"/>
    </xf>
    <xf numFmtId="172" fontId="4" fillId="5" borderId="2" xfId="0" applyNumberFormat="1" applyFont="1" applyFill="1" applyBorder="1"/>
    <xf numFmtId="10" fontId="4" fillId="5" borderId="30" xfId="1" applyNumberFormat="1" applyFont="1" applyFill="1" applyBorder="1"/>
    <xf numFmtId="0" fontId="4" fillId="10" borderId="0" xfId="0" applyFont="1" applyFill="1" applyBorder="1"/>
    <xf numFmtId="164" fontId="4" fillId="10" borderId="13" xfId="0" applyNumberFormat="1" applyFont="1" applyFill="1" applyBorder="1"/>
    <xf numFmtId="0" fontId="4" fillId="5" borderId="12" xfId="0" applyFont="1" applyFill="1" applyBorder="1" applyAlignment="1">
      <alignment horizontal="center"/>
    </xf>
    <xf numFmtId="169" fontId="4" fillId="5" borderId="3" xfId="0" applyNumberFormat="1" applyFont="1" applyFill="1" applyBorder="1"/>
    <xf numFmtId="9" fontId="4" fillId="5" borderId="12" xfId="0" applyNumberFormat="1" applyFont="1" applyFill="1" applyBorder="1" applyAlignment="1">
      <alignment horizontal="center"/>
    </xf>
    <xf numFmtId="172" fontId="4" fillId="5" borderId="4" xfId="0" applyNumberFormat="1" applyFont="1" applyFill="1" applyBorder="1"/>
    <xf numFmtId="0" fontId="4" fillId="10" borderId="15" xfId="0" applyFont="1" applyFill="1" applyBorder="1" applyAlignment="1">
      <alignment horizontal="right"/>
    </xf>
    <xf numFmtId="44" fontId="4" fillId="10" borderId="0" xfId="0" applyNumberFormat="1" applyFont="1" applyFill="1" applyBorder="1"/>
    <xf numFmtId="169" fontId="4" fillId="5" borderId="5" xfId="0" applyNumberFormat="1" applyFont="1" applyFill="1" applyBorder="1"/>
    <xf numFmtId="9" fontId="4" fillId="5" borderId="13" xfId="0" applyNumberFormat="1" applyFont="1" applyFill="1" applyBorder="1" applyAlignment="1">
      <alignment horizontal="center"/>
    </xf>
    <xf numFmtId="172" fontId="4" fillId="5" borderId="6" xfId="0" applyNumberFormat="1" applyFont="1" applyFill="1" applyBorder="1"/>
    <xf numFmtId="0" fontId="4" fillId="10" borderId="0" xfId="0" applyFont="1" applyFill="1" applyBorder="1" applyAlignment="1">
      <alignment horizontal="right"/>
    </xf>
    <xf numFmtId="177" fontId="4" fillId="10" borderId="0" xfId="4" applyNumberFormat="1" applyFont="1" applyFill="1" applyBorder="1"/>
    <xf numFmtId="9" fontId="4" fillId="5" borderId="0" xfId="0" applyNumberFormat="1" applyFont="1" applyFill="1" applyBorder="1"/>
    <xf numFmtId="169" fontId="4" fillId="0" borderId="12" xfId="0" applyNumberFormat="1" applyFont="1" applyBorder="1"/>
    <xf numFmtId="0" fontId="4" fillId="9" borderId="9" xfId="0" applyFont="1" applyFill="1" applyBorder="1" applyAlignment="1">
      <alignment horizontal="centerContinuous"/>
    </xf>
    <xf numFmtId="44" fontId="4" fillId="9" borderId="14" xfId="4" applyFont="1" applyFill="1" applyBorder="1" applyAlignment="1">
      <alignment horizontal="centerContinuous"/>
    </xf>
    <xf numFmtId="169" fontId="4" fillId="0" borderId="13" xfId="0" applyNumberFormat="1" applyFont="1" applyBorder="1"/>
    <xf numFmtId="174" fontId="4" fillId="9" borderId="11" xfId="4" applyNumberFormat="1" applyFont="1" applyFill="1" applyBorder="1"/>
    <xf numFmtId="0" fontId="4" fillId="9" borderId="1" xfId="0" applyFont="1" applyFill="1" applyBorder="1"/>
    <xf numFmtId="164" fontId="4" fillId="9" borderId="11" xfId="3" applyNumberFormat="1" applyFont="1" applyFill="1" applyBorder="1"/>
    <xf numFmtId="0" fontId="4" fillId="9" borderId="3" xfId="0" applyFont="1" applyFill="1" applyBorder="1"/>
    <xf numFmtId="10" fontId="4" fillId="9" borderId="12" xfId="0" applyNumberFormat="1" applyFont="1" applyFill="1" applyBorder="1"/>
    <xf numFmtId="0" fontId="4" fillId="8" borderId="21" xfId="0" applyFont="1" applyFill="1" applyBorder="1" applyAlignment="1">
      <alignment horizontal="centerContinuous"/>
    </xf>
    <xf numFmtId="0" fontId="4" fillId="8" borderId="14" xfId="0" applyFont="1" applyFill="1" applyBorder="1" applyAlignment="1">
      <alignment horizontal="centerContinuous"/>
    </xf>
    <xf numFmtId="9" fontId="4" fillId="8" borderId="14" xfId="0" applyNumberFormat="1" applyFont="1" applyFill="1" applyBorder="1" applyAlignment="1">
      <alignment horizontal="centerContinuous"/>
    </xf>
    <xf numFmtId="10" fontId="4" fillId="8" borderId="22" xfId="1" applyNumberFormat="1" applyFont="1" applyFill="1" applyBorder="1" applyAlignment="1">
      <alignment horizontal="centerContinuous"/>
    </xf>
    <xf numFmtId="174" fontId="4" fillId="9" borderId="13" xfId="4" applyNumberFormat="1" applyFont="1" applyFill="1" applyBorder="1"/>
    <xf numFmtId="0" fontId="4" fillId="9" borderId="5" xfId="0" applyFont="1" applyFill="1" applyBorder="1"/>
    <xf numFmtId="164" fontId="4" fillId="9" borderId="12" xfId="0" applyNumberFormat="1" applyFont="1" applyFill="1" applyBorder="1"/>
    <xf numFmtId="0" fontId="4" fillId="8" borderId="22" xfId="0" applyFont="1" applyFill="1" applyBorder="1" applyAlignment="1">
      <alignment horizontal="centerContinuous"/>
    </xf>
    <xf numFmtId="0" fontId="4" fillId="9" borderId="0" xfId="0" applyFont="1" applyFill="1" applyBorder="1"/>
    <xf numFmtId="164" fontId="4" fillId="9" borderId="13" xfId="0" applyNumberFormat="1" applyFont="1" applyFill="1" applyBorder="1"/>
    <xf numFmtId="0" fontId="4" fillId="8" borderId="23" xfId="0" applyFont="1" applyFill="1" applyBorder="1"/>
    <xf numFmtId="0" fontId="4" fillId="8" borderId="11" xfId="0" quotePrefix="1" applyFont="1" applyFill="1" applyBorder="1"/>
    <xf numFmtId="44" fontId="4" fillId="8" borderId="1" xfId="0" applyNumberFormat="1" applyFont="1" applyFill="1" applyBorder="1"/>
    <xf numFmtId="0" fontId="4" fillId="8" borderId="20" xfId="0" applyFont="1" applyFill="1" applyBorder="1"/>
    <xf numFmtId="0" fontId="4" fillId="9" borderId="15" xfId="0" applyFont="1" applyFill="1" applyBorder="1" applyAlignment="1">
      <alignment horizontal="right"/>
    </xf>
    <xf numFmtId="44" fontId="4" fillId="9" borderId="0" xfId="0" applyNumberFormat="1" applyFont="1" applyFill="1" applyBorder="1"/>
    <xf numFmtId="0" fontId="4" fillId="8" borderId="25" xfId="0" applyFont="1" applyFill="1" applyBorder="1"/>
    <xf numFmtId="0" fontId="4" fillId="8" borderId="12" xfId="0" quotePrefix="1" applyFont="1" applyFill="1" applyBorder="1"/>
    <xf numFmtId="44" fontId="4" fillId="8" borderId="3" xfId="4" applyFont="1" applyFill="1" applyBorder="1"/>
    <xf numFmtId="0" fontId="4" fillId="8" borderId="30" xfId="0" applyFont="1" applyFill="1" applyBorder="1"/>
    <xf numFmtId="0" fontId="4" fillId="9" borderId="0" xfId="0" applyFont="1" applyFill="1" applyBorder="1" applyAlignment="1">
      <alignment horizontal="right"/>
    </xf>
    <xf numFmtId="177" fontId="4" fillId="9" borderId="0" xfId="4" applyNumberFormat="1" applyFont="1" applyFill="1" applyBorder="1"/>
    <xf numFmtId="176" fontId="4" fillId="0" borderId="0" xfId="0" applyNumberFormat="1" applyFont="1"/>
    <xf numFmtId="0" fontId="4" fillId="8" borderId="27" xfId="0" applyFont="1" applyFill="1" applyBorder="1"/>
    <xf numFmtId="0" fontId="4" fillId="8" borderId="13" xfId="0" quotePrefix="1" applyFont="1" applyFill="1" applyBorder="1"/>
    <xf numFmtId="44" fontId="4" fillId="8" borderId="5" xfId="4" applyFont="1" applyFill="1" applyBorder="1"/>
    <xf numFmtId="0" fontId="4" fillId="8" borderId="34" xfId="0" applyFont="1" applyFill="1" applyBorder="1"/>
    <xf numFmtId="0" fontId="4" fillId="12" borderId="31" xfId="0" applyFont="1" applyFill="1" applyBorder="1"/>
    <xf numFmtId="0" fontId="4" fillId="12" borderId="32" xfId="0" applyFont="1" applyFill="1" applyBorder="1"/>
    <xf numFmtId="0" fontId="4" fillId="12" borderId="33" xfId="0" applyFont="1" applyFill="1" applyBorder="1"/>
    <xf numFmtId="170" fontId="4" fillId="5" borderId="0" xfId="4" applyNumberFormat="1" applyFont="1" applyFill="1" applyBorder="1"/>
    <xf numFmtId="0" fontId="4" fillId="0" borderId="0" xfId="0" applyFont="1" applyAlignment="1">
      <alignment horizontal="center"/>
    </xf>
    <xf numFmtId="0" fontId="4" fillId="10" borderId="21" xfId="0" applyFont="1" applyFill="1" applyBorder="1" applyAlignment="1">
      <alignment horizontal="centerContinuous"/>
    </xf>
    <xf numFmtId="0" fontId="4" fillId="10" borderId="14" xfId="0" applyFont="1" applyFill="1" applyBorder="1" applyAlignment="1">
      <alignment horizontal="centerContinuous"/>
    </xf>
    <xf numFmtId="9" fontId="4" fillId="10" borderId="14" xfId="0" applyNumberFormat="1" applyFont="1" applyFill="1" applyBorder="1" applyAlignment="1">
      <alignment horizontal="centerContinuous"/>
    </xf>
    <xf numFmtId="10" fontId="4" fillId="10" borderId="22" xfId="1" applyNumberFormat="1" applyFont="1" applyFill="1" applyBorder="1" applyAlignment="1">
      <alignment horizontal="centerContinuous"/>
    </xf>
    <xf numFmtId="0" fontId="4" fillId="10" borderId="22" xfId="0" applyFont="1" applyFill="1" applyBorder="1" applyAlignment="1">
      <alignment horizontal="centerContinuous"/>
    </xf>
    <xf numFmtId="0" fontId="4" fillId="10" borderId="23" xfId="0" applyFont="1" applyFill="1" applyBorder="1"/>
    <xf numFmtId="0" fontId="4" fillId="10" borderId="11" xfId="0" quotePrefix="1" applyFont="1" applyFill="1" applyBorder="1"/>
    <xf numFmtId="44" fontId="4" fillId="10" borderId="1" xfId="0" applyNumberFormat="1" applyFont="1" applyFill="1" applyBorder="1"/>
    <xf numFmtId="0" fontId="4" fillId="10" borderId="20" xfId="0" applyFont="1" applyFill="1" applyBorder="1"/>
    <xf numFmtId="0" fontId="4" fillId="10" borderId="25" xfId="0" applyFont="1" applyFill="1" applyBorder="1"/>
    <xf numFmtId="0" fontId="4" fillId="10" borderId="12" xfId="0" quotePrefix="1" applyFont="1" applyFill="1" applyBorder="1"/>
    <xf numFmtId="44" fontId="4" fillId="10" borderId="3" xfId="4" applyFont="1" applyFill="1" applyBorder="1"/>
    <xf numFmtId="0" fontId="4" fillId="10" borderId="30" xfId="0" applyFont="1" applyFill="1" applyBorder="1"/>
    <xf numFmtId="0" fontId="4" fillId="10" borderId="27" xfId="0" applyFont="1" applyFill="1" applyBorder="1"/>
    <xf numFmtId="0" fontId="4" fillId="10" borderId="13" xfId="0" quotePrefix="1" applyFont="1" applyFill="1" applyBorder="1"/>
    <xf numFmtId="44" fontId="4" fillId="10" borderId="5" xfId="4" applyFont="1" applyFill="1" applyBorder="1"/>
    <xf numFmtId="0" fontId="4" fillId="10" borderId="34" xfId="0" applyFont="1" applyFill="1" applyBorder="1"/>
    <xf numFmtId="0" fontId="4" fillId="11" borderId="0" xfId="0" applyFont="1" applyFill="1" applyBorder="1"/>
    <xf numFmtId="176" fontId="4" fillId="0" borderId="11" xfId="4" applyNumberFormat="1" applyFont="1" applyBorder="1"/>
    <xf numFmtId="0" fontId="4" fillId="9" borderId="21" xfId="0" applyFont="1" applyFill="1" applyBorder="1" applyAlignment="1">
      <alignment horizontal="centerContinuous"/>
    </xf>
    <xf numFmtId="0" fontId="4" fillId="9" borderId="14" xfId="0" applyFont="1" applyFill="1" applyBorder="1" applyAlignment="1">
      <alignment horizontal="centerContinuous"/>
    </xf>
    <xf numFmtId="9" fontId="4" fillId="9" borderId="14" xfId="0" applyNumberFormat="1" applyFont="1" applyFill="1" applyBorder="1" applyAlignment="1">
      <alignment horizontal="centerContinuous"/>
    </xf>
    <xf numFmtId="10" fontId="4" fillId="9" borderId="22" xfId="1" applyNumberFormat="1" applyFont="1" applyFill="1" applyBorder="1" applyAlignment="1">
      <alignment horizontal="centerContinuous"/>
    </xf>
    <xf numFmtId="0" fontId="4" fillId="9" borderId="22" xfId="0" applyFont="1" applyFill="1" applyBorder="1" applyAlignment="1">
      <alignment horizontal="centerContinuous"/>
    </xf>
    <xf numFmtId="0" fontId="4" fillId="9" borderId="23" xfId="0" applyFont="1" applyFill="1" applyBorder="1"/>
    <xf numFmtId="0" fontId="4" fillId="9" borderId="11" xfId="0" quotePrefix="1" applyFont="1" applyFill="1" applyBorder="1"/>
    <xf numFmtId="44" fontId="4" fillId="9" borderId="1" xfId="0" applyNumberFormat="1" applyFont="1" applyFill="1" applyBorder="1"/>
    <xf numFmtId="0" fontId="4" fillId="9" borderId="20" xfId="0" applyFont="1" applyFill="1" applyBorder="1"/>
    <xf numFmtId="0" fontId="4" fillId="9" borderId="25" xfId="0" applyFont="1" applyFill="1" applyBorder="1"/>
    <xf numFmtId="0" fontId="4" fillId="9" borderId="12" xfId="0" quotePrefix="1" applyFont="1" applyFill="1" applyBorder="1"/>
    <xf numFmtId="44" fontId="4" fillId="9" borderId="3" xfId="4" applyFont="1" applyFill="1" applyBorder="1"/>
    <xf numFmtId="0" fontId="4" fillId="9" borderId="30" xfId="0" applyFont="1" applyFill="1" applyBorder="1"/>
    <xf numFmtId="0" fontId="4" fillId="9" borderId="27" xfId="0" applyFont="1" applyFill="1" applyBorder="1"/>
    <xf numFmtId="0" fontId="4" fillId="9" borderId="13" xfId="0" quotePrefix="1" applyFont="1" applyFill="1" applyBorder="1"/>
    <xf numFmtId="44" fontId="4" fillId="9" borderId="5" xfId="4" applyFont="1" applyFill="1" applyBorder="1"/>
    <xf numFmtId="0" fontId="4" fillId="9" borderId="34" xfId="0" applyFont="1" applyFill="1" applyBorder="1"/>
    <xf numFmtId="0" fontId="4" fillId="5" borderId="31" xfId="0" applyFont="1" applyFill="1" applyBorder="1"/>
    <xf numFmtId="0" fontId="4" fillId="5" borderId="32" xfId="0" applyFont="1" applyFill="1" applyBorder="1"/>
    <xf numFmtId="0" fontId="4" fillId="5" borderId="33" xfId="0" applyFont="1" applyFill="1" applyBorder="1"/>
    <xf numFmtId="0" fontId="4" fillId="0" borderId="0" xfId="0" applyFont="1" applyAlignment="1"/>
    <xf numFmtId="0" fontId="4" fillId="0" borderId="11" xfId="0" applyFont="1" applyBorder="1" applyAlignment="1">
      <alignment horizontal="left" indent="1"/>
    </xf>
    <xf numFmtId="0" fontId="4" fillId="5" borderId="12" xfId="0" applyFont="1" applyFill="1" applyBorder="1" applyAlignment="1">
      <alignment horizontal="left" indent="1"/>
    </xf>
    <xf numFmtId="0" fontId="4" fillId="10" borderId="12" xfId="0" applyFont="1" applyFill="1" applyBorder="1" applyAlignment="1">
      <alignment horizontal="left" indent="1"/>
    </xf>
    <xf numFmtId="0" fontId="4" fillId="4" borderId="12" xfId="0" applyFont="1" applyFill="1" applyBorder="1" applyAlignment="1">
      <alignment horizontal="left" indent="1"/>
    </xf>
    <xf numFmtId="0" fontId="4" fillId="2" borderId="12" xfId="0" applyFont="1" applyFill="1" applyBorder="1" applyAlignment="1">
      <alignment horizontal="left" indent="1"/>
    </xf>
    <xf numFmtId="0" fontId="4" fillId="6" borderId="12" xfId="0" applyFont="1" applyFill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170" fontId="4" fillId="0" borderId="0" xfId="0" applyNumberFormat="1" applyFont="1" applyAlignment="1"/>
    <xf numFmtId="172" fontId="4" fillId="0" borderId="0" xfId="4" applyNumberFormat="1" applyFont="1" applyAlignment="1">
      <alignment horizontal="center"/>
    </xf>
    <xf numFmtId="0" fontId="4" fillId="0" borderId="0" xfId="0" applyFont="1" applyFill="1"/>
    <xf numFmtId="0" fontId="4" fillId="0" borderId="0" xfId="0" applyFont="1" applyFill="1" applyBorder="1" applyAlignment="1"/>
    <xf numFmtId="0" fontId="4" fillId="7" borderId="0" xfId="0" applyFont="1" applyFill="1" applyBorder="1" applyAlignment="1">
      <alignment horizontal="center"/>
    </xf>
    <xf numFmtId="168" fontId="4" fillId="0" borderId="0" xfId="0" applyNumberFormat="1" applyFont="1" applyFill="1" applyBorder="1" applyAlignment="1">
      <alignment horizontal="center"/>
    </xf>
    <xf numFmtId="168" fontId="4" fillId="7" borderId="0" xfId="0" applyNumberFormat="1" applyFont="1" applyFill="1" applyBorder="1" applyAlignment="1">
      <alignment horizontal="center"/>
    </xf>
    <xf numFmtId="170" fontId="4" fillId="10" borderId="11" xfId="4" applyNumberFormat="1" applyFont="1" applyFill="1" applyBorder="1"/>
    <xf numFmtId="0" fontId="4" fillId="14" borderId="12" xfId="0" applyFont="1" applyFill="1" applyBorder="1"/>
    <xf numFmtId="170" fontId="4" fillId="14" borderId="12" xfId="4" applyNumberFormat="1" applyFont="1" applyFill="1" applyBorder="1" applyAlignment="1">
      <alignment horizontal="center"/>
    </xf>
    <xf numFmtId="9" fontId="4" fillId="14" borderId="13" xfId="0" applyNumberFormat="1" applyFont="1" applyFill="1" applyBorder="1"/>
    <xf numFmtId="170" fontId="4" fillId="0" borderId="12" xfId="4" applyNumberFormat="1" applyFont="1" applyBorder="1" applyAlignment="1">
      <alignment horizontal="center"/>
    </xf>
    <xf numFmtId="9" fontId="4" fillId="0" borderId="0" xfId="0" applyNumberFormat="1" applyFont="1" applyFill="1" applyBorder="1"/>
    <xf numFmtId="0" fontId="4" fillId="5" borderId="12" xfId="0" applyFont="1" applyFill="1" applyBorder="1"/>
    <xf numFmtId="170" fontId="4" fillId="5" borderId="12" xfId="4" applyNumberFormat="1" applyFont="1" applyFill="1" applyBorder="1" applyAlignment="1">
      <alignment horizontal="center"/>
    </xf>
    <xf numFmtId="9" fontId="4" fillId="5" borderId="8" xfId="0" applyNumberFormat="1" applyFont="1" applyFill="1" applyBorder="1"/>
    <xf numFmtId="170" fontId="4" fillId="5" borderId="8" xfId="4" applyNumberFormat="1" applyFont="1" applyFill="1" applyBorder="1"/>
    <xf numFmtId="170" fontId="4" fillId="0" borderId="13" xfId="4" applyNumberFormat="1" applyFont="1" applyBorder="1" applyAlignment="1">
      <alignment horizontal="center"/>
    </xf>
    <xf numFmtId="171" fontId="4" fillId="0" borderId="0" xfId="1" applyNumberFormat="1" applyFont="1"/>
    <xf numFmtId="43" fontId="4" fillId="0" borderId="0" xfId="3" applyFont="1"/>
    <xf numFmtId="43" fontId="4" fillId="0" borderId="0" xfId="0" applyNumberFormat="1" applyFont="1"/>
    <xf numFmtId="0" fontId="4" fillId="0" borderId="11" xfId="0" applyFont="1" applyBorder="1" applyAlignment="1">
      <alignment horizontal="right"/>
    </xf>
    <xf numFmtId="176" fontId="4" fillId="0" borderId="11" xfId="0" applyNumberFormat="1" applyFont="1" applyBorder="1"/>
    <xf numFmtId="0" fontId="4" fillId="0" borderId="12" xfId="0" applyFont="1" applyBorder="1" applyAlignment="1">
      <alignment horizontal="right"/>
    </xf>
    <xf numFmtId="176" fontId="4" fillId="0" borderId="12" xfId="0" applyNumberFormat="1" applyFont="1" applyBorder="1"/>
    <xf numFmtId="0" fontId="4" fillId="0" borderId="13" xfId="0" applyFont="1" applyBorder="1" applyAlignment="1">
      <alignment horizontal="right"/>
    </xf>
    <xf numFmtId="176" fontId="4" fillId="0" borderId="13" xfId="0" applyNumberFormat="1" applyFont="1" applyBorder="1"/>
    <xf numFmtId="0" fontId="4" fillId="0" borderId="12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6" fontId="4" fillId="0" borderId="0" xfId="0" applyNumberFormat="1" applyFont="1"/>
    <xf numFmtId="172" fontId="4" fillId="0" borderId="13" xfId="0" applyNumberFormat="1" applyFont="1" applyBorder="1"/>
    <xf numFmtId="0" fontId="4" fillId="0" borderId="0" xfId="0" applyFont="1" applyBorder="1" applyAlignment="1">
      <alignment horizontal="center"/>
    </xf>
    <xf numFmtId="0" fontId="4" fillId="7" borderId="0" xfId="0" applyFont="1" applyFill="1" applyBorder="1" applyAlignment="1">
      <alignment horizontal="centerContinuous"/>
    </xf>
    <xf numFmtId="0" fontId="4" fillId="0" borderId="0" xfId="0" applyFont="1" applyFill="1" applyAlignment="1">
      <alignment horizontal="fill"/>
    </xf>
    <xf numFmtId="0" fontId="4" fillId="0" borderId="11" xfId="0" applyFont="1" applyFill="1" applyBorder="1"/>
    <xf numFmtId="0" fontId="4" fillId="0" borderId="12" xfId="0" applyFont="1" applyFill="1" applyBorder="1"/>
    <xf numFmtId="182" fontId="4" fillId="0" borderId="8" xfId="0" applyNumberFormat="1" applyFont="1" applyBorder="1" applyAlignment="1">
      <alignment horizontal="center"/>
    </xf>
    <xf numFmtId="164" fontId="4" fillId="0" borderId="12" xfId="3" applyNumberFormat="1" applyFont="1" applyBorder="1"/>
    <xf numFmtId="164" fontId="4" fillId="9" borderId="12" xfId="3" applyNumberFormat="1" applyFont="1" applyFill="1" applyBorder="1"/>
    <xf numFmtId="164" fontId="4" fillId="0" borderId="12" xfId="3" applyNumberFormat="1" applyFont="1" applyFill="1" applyBorder="1"/>
    <xf numFmtId="9" fontId="4" fillId="15" borderId="11" xfId="0" applyNumberFormat="1" applyFont="1" applyFill="1" applyBorder="1" applyAlignment="1">
      <alignment horizontal="center"/>
    </xf>
    <xf numFmtId="6" fontId="4" fillId="0" borderId="11" xfId="0" applyNumberFormat="1" applyFont="1" applyBorder="1"/>
    <xf numFmtId="164" fontId="4" fillId="0" borderId="13" xfId="3" applyNumberFormat="1" applyFont="1" applyBorder="1"/>
    <xf numFmtId="164" fontId="4" fillId="9" borderId="13" xfId="3" applyNumberFormat="1" applyFont="1" applyFill="1" applyBorder="1"/>
    <xf numFmtId="164" fontId="4" fillId="0" borderId="13" xfId="3" applyNumberFormat="1" applyFont="1" applyFill="1" applyBorder="1"/>
    <xf numFmtId="178" fontId="4" fillId="0" borderId="12" xfId="0" applyNumberFormat="1" applyFont="1" applyBorder="1"/>
    <xf numFmtId="0" fontId="4" fillId="0" borderId="0" xfId="0" applyFont="1" applyAlignment="1">
      <alignment horizontal="right"/>
    </xf>
    <xf numFmtId="164" fontId="4" fillId="0" borderId="0" xfId="0" applyNumberFormat="1" applyFont="1"/>
    <xf numFmtId="0" fontId="4" fillId="0" borderId="15" xfId="0" applyFont="1" applyBorder="1" applyAlignment="1">
      <alignment horizontal="right"/>
    </xf>
    <xf numFmtId="164" fontId="4" fillId="0" borderId="15" xfId="3" applyNumberFormat="1" applyFont="1" applyBorder="1"/>
    <xf numFmtId="164" fontId="4" fillId="9" borderId="15" xfId="3" applyNumberFormat="1" applyFont="1" applyFill="1" applyBorder="1"/>
    <xf numFmtId="164" fontId="4" fillId="0" borderId="15" xfId="3" applyNumberFormat="1" applyFont="1" applyFill="1" applyBorder="1"/>
    <xf numFmtId="0" fontId="4" fillId="0" borderId="13" xfId="0" applyFont="1" applyFill="1" applyBorder="1"/>
    <xf numFmtId="171" fontId="4" fillId="0" borderId="0" xfId="1" applyNumberFormat="1" applyFont="1" applyBorder="1"/>
    <xf numFmtId="171" fontId="4" fillId="0" borderId="0" xfId="1" applyNumberFormat="1" applyFont="1" applyFill="1" applyBorder="1"/>
    <xf numFmtId="0" fontId="4" fillId="0" borderId="12" xfId="0" applyFont="1" applyBorder="1" applyAlignment="1">
      <alignment horizontal="center"/>
    </xf>
    <xf numFmtId="165" fontId="4" fillId="0" borderId="12" xfId="4" applyNumberFormat="1" applyFont="1" applyBorder="1"/>
    <xf numFmtId="6" fontId="4" fillId="0" borderId="12" xfId="0" applyNumberFormat="1" applyFont="1" applyBorder="1"/>
    <xf numFmtId="0" fontId="4" fillId="0" borderId="2" xfId="0" applyFont="1" applyBorder="1" applyAlignment="1">
      <alignment horizontal="centerContinuous"/>
    </xf>
    <xf numFmtId="0" fontId="4" fillId="0" borderId="1" xfId="0" applyFont="1" applyBorder="1"/>
    <xf numFmtId="0" fontId="4" fillId="0" borderId="11" xfId="0" applyFont="1" applyBorder="1" applyAlignment="1">
      <alignment horizontal="left"/>
    </xf>
    <xf numFmtId="0" fontId="4" fillId="0" borderId="11" xfId="0" applyNumberFormat="1" applyFont="1" applyBorder="1" applyAlignment="1">
      <alignment horizontal="center"/>
    </xf>
    <xf numFmtId="182" fontId="4" fillId="0" borderId="11" xfId="0" applyNumberFormat="1" applyFont="1" applyBorder="1" applyAlignment="1">
      <alignment horizontal="center"/>
    </xf>
    <xf numFmtId="165" fontId="4" fillId="0" borderId="11" xfId="0" applyNumberFormat="1" applyFont="1" applyFill="1" applyBorder="1"/>
    <xf numFmtId="0" fontId="4" fillId="0" borderId="3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165" fontId="4" fillId="9" borderId="11" xfId="0" applyNumberFormat="1" applyFont="1" applyFill="1" applyBorder="1"/>
    <xf numFmtId="0" fontId="4" fillId="0" borderId="3" xfId="0" applyFont="1" applyBorder="1"/>
    <xf numFmtId="165" fontId="4" fillId="0" borderId="12" xfId="0" applyNumberFormat="1" applyFont="1" applyFill="1" applyBorder="1"/>
    <xf numFmtId="0" fontId="4" fillId="0" borderId="5" xfId="0" applyFont="1" applyBorder="1" applyAlignment="1">
      <alignment horizontal="left"/>
    </xf>
    <xf numFmtId="165" fontId="4" fillId="0" borderId="13" xfId="0" applyNumberFormat="1" applyFont="1" applyFill="1" applyBorder="1"/>
    <xf numFmtId="0" fontId="4" fillId="0" borderId="13" xfId="0" applyFont="1" applyBorder="1" applyAlignment="1">
      <alignment horizontal="left"/>
    </xf>
    <xf numFmtId="165" fontId="4" fillId="9" borderId="13" xfId="0" applyNumberFormat="1" applyFont="1" applyFill="1" applyBorder="1"/>
    <xf numFmtId="0" fontId="4" fillId="0" borderId="13" xfId="0" applyFont="1" applyBorder="1" applyAlignment="1">
      <alignment horizontal="center"/>
    </xf>
    <xf numFmtId="165" fontId="4" fillId="0" borderId="13" xfId="4" applyNumberFormat="1" applyFont="1" applyBorder="1"/>
    <xf numFmtId="6" fontId="4" fillId="0" borderId="13" xfId="0" applyNumberFormat="1" applyFont="1" applyBorder="1"/>
    <xf numFmtId="165" fontId="4" fillId="0" borderId="0" xfId="0" applyNumberFormat="1" applyFont="1" applyFill="1" applyBorder="1"/>
    <xf numFmtId="165" fontId="4" fillId="9" borderId="0" xfId="0" applyNumberFormat="1" applyFont="1" applyFill="1" applyBorder="1"/>
    <xf numFmtId="6" fontId="4" fillId="0" borderId="0" xfId="0" applyNumberFormat="1" applyFont="1" applyFill="1"/>
    <xf numFmtId="6" fontId="4" fillId="0" borderId="10" xfId="0" applyNumberFormat="1" applyFont="1" applyBorder="1" applyAlignment="1">
      <alignment horizontal="centerContinuous"/>
    </xf>
    <xf numFmtId="6" fontId="4" fillId="0" borderId="14" xfId="0" applyNumberFormat="1" applyFont="1" applyBorder="1" applyAlignment="1">
      <alignment horizontal="centerContinuous"/>
    </xf>
    <xf numFmtId="6" fontId="4" fillId="0" borderId="14" xfId="0" applyNumberFormat="1" applyFont="1" applyFill="1" applyBorder="1" applyAlignment="1">
      <alignment horizontal="centerContinuous"/>
    </xf>
    <xf numFmtId="0" fontId="4" fillId="0" borderId="5" xfId="0" applyFont="1" applyBorder="1"/>
    <xf numFmtId="185" fontId="4" fillId="0" borderId="13" xfId="3" applyNumberFormat="1" applyFont="1" applyBorder="1"/>
    <xf numFmtId="0" fontId="4" fillId="0" borderId="2" xfId="0" applyFont="1" applyBorder="1"/>
    <xf numFmtId="6" fontId="4" fillId="0" borderId="0" xfId="0" applyNumberFormat="1" applyFont="1" applyBorder="1"/>
    <xf numFmtId="0" fontId="4" fillId="0" borderId="4" xfId="0" applyFont="1" applyBorder="1"/>
    <xf numFmtId="164" fontId="4" fillId="0" borderId="11" xfId="3" applyNumberFormat="1" applyFont="1" applyFill="1" applyBorder="1"/>
    <xf numFmtId="0" fontId="4" fillId="0" borderId="7" xfId="0" applyFont="1" applyBorder="1"/>
    <xf numFmtId="0" fontId="4" fillId="0" borderId="6" xfId="0" applyFont="1" applyBorder="1"/>
    <xf numFmtId="0" fontId="4" fillId="9" borderId="11" xfId="0" applyNumberFormat="1" applyFont="1" applyFill="1" applyBorder="1" applyAlignment="1">
      <alignment horizontal="center"/>
    </xf>
    <xf numFmtId="165" fontId="4" fillId="0" borderId="13" xfId="0" applyNumberFormat="1" applyFont="1" applyBorder="1"/>
    <xf numFmtId="0" fontId="4" fillId="0" borderId="16" xfId="0" applyFont="1" applyBorder="1" applyAlignment="1">
      <alignment horizontal="centerContinuous"/>
    </xf>
    <xf numFmtId="6" fontId="4" fillId="0" borderId="18" xfId="0" applyNumberFormat="1" applyFont="1" applyBorder="1" applyAlignment="1">
      <alignment horizontal="centerContinuous"/>
    </xf>
    <xf numFmtId="6" fontId="4" fillId="0" borderId="23" xfId="0" applyNumberFormat="1" applyFont="1" applyBorder="1" applyAlignment="1">
      <alignment horizontal="center"/>
    </xf>
    <xf numFmtId="0" fontId="4" fillId="0" borderId="25" xfId="0" applyFont="1" applyBorder="1" applyAlignment="1">
      <alignment horizontal="right"/>
    </xf>
    <xf numFmtId="8" fontId="4" fillId="0" borderId="0" xfId="0" applyNumberFormat="1" applyFont="1"/>
    <xf numFmtId="0" fontId="4" fillId="0" borderId="39" xfId="0" applyFont="1" applyBorder="1" applyAlignment="1">
      <alignment horizontal="right"/>
    </xf>
    <xf numFmtId="0" fontId="4" fillId="7" borderId="0" xfId="0" applyFont="1" applyFill="1" applyBorder="1"/>
    <xf numFmtId="0" fontId="4" fillId="0" borderId="11" xfId="0" applyFont="1" applyBorder="1" applyAlignment="1"/>
    <xf numFmtId="6" fontId="4" fillId="7" borderId="0" xfId="0" applyNumberFormat="1" applyFont="1" applyFill="1" applyAlignment="1">
      <alignment horizontal="center"/>
    </xf>
    <xf numFmtId="6" fontId="4" fillId="0" borderId="0" xfId="0" applyNumberFormat="1" applyFont="1" applyAlignment="1">
      <alignment horizontal="center"/>
    </xf>
    <xf numFmtId="169" fontId="4" fillId="0" borderId="13" xfId="4" applyNumberFormat="1" applyFont="1" applyBorder="1"/>
    <xf numFmtId="179" fontId="4" fillId="0" borderId="0" xfId="0" applyNumberFormat="1" applyFont="1"/>
    <xf numFmtId="0" fontId="4" fillId="7" borderId="0" xfId="10" applyFont="1" applyFill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4" fillId="7" borderId="0" xfId="0" quotePrefix="1" applyFont="1" applyFill="1"/>
    <xf numFmtId="0" fontId="4" fillId="7" borderId="0" xfId="10" applyFont="1" applyFill="1"/>
    <xf numFmtId="0" fontId="4" fillId="0" borderId="0" xfId="10" applyFont="1"/>
    <xf numFmtId="0" fontId="4" fillId="0" borderId="9" xfId="0" applyFont="1" applyFill="1" applyBorder="1" applyAlignment="1">
      <alignment horizontal="centerContinuous"/>
    </xf>
    <xf numFmtId="0" fontId="4" fillId="0" borderId="14" xfId="0" applyFont="1" applyFill="1" applyBorder="1" applyAlignment="1">
      <alignment horizontal="centerContinuous"/>
    </xf>
    <xf numFmtId="0" fontId="4" fillId="0" borderId="1" xfId="0" applyFont="1" applyBorder="1" applyAlignment="1">
      <alignment horizontal="center"/>
    </xf>
    <xf numFmtId="0" fontId="4" fillId="0" borderId="8" xfId="0" applyFont="1" applyBorder="1" applyAlignment="1">
      <alignment horizontal="centerContinuous"/>
    </xf>
    <xf numFmtId="0" fontId="4" fillId="0" borderId="11" xfId="0" applyFont="1" applyBorder="1" applyAlignment="1">
      <alignment horizontal="centerContinuous"/>
    </xf>
    <xf numFmtId="0" fontId="4" fillId="0" borderId="1" xfId="10" applyFont="1" applyBorder="1" applyAlignment="1">
      <alignment horizontal="center"/>
    </xf>
    <xf numFmtId="0" fontId="4" fillId="0" borderId="11" xfId="10" applyFont="1" applyBorder="1" applyAlignment="1">
      <alignment horizontal="center"/>
    </xf>
    <xf numFmtId="0" fontId="4" fillId="0" borderId="15" xfId="1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8" xfId="0" applyFont="1" applyFill="1" applyBorder="1" applyAlignment="1">
      <alignment horizontal="center"/>
    </xf>
    <xf numFmtId="0" fontId="4" fillId="0" borderId="3" xfId="10" applyFont="1" applyBorder="1" applyAlignment="1">
      <alignment horizontal="center"/>
    </xf>
    <xf numFmtId="0" fontId="4" fillId="0" borderId="12" xfId="10" applyFont="1" applyBorder="1" applyAlignment="1">
      <alignment horizontal="center"/>
    </xf>
    <xf numFmtId="0" fontId="4" fillId="0" borderId="0" xfId="10" applyFont="1" applyBorder="1" applyAlignment="1">
      <alignment horizontal="center"/>
    </xf>
    <xf numFmtId="0" fontId="4" fillId="0" borderId="3" xfId="0" applyFont="1" applyBorder="1" applyAlignment="1">
      <alignment horizontal="right"/>
    </xf>
    <xf numFmtId="44" fontId="4" fillId="0" borderId="12" xfId="4" applyFont="1" applyBorder="1"/>
    <xf numFmtId="181" fontId="4" fillId="9" borderId="11" xfId="3" applyNumberFormat="1" applyFont="1" applyFill="1" applyBorder="1"/>
    <xf numFmtId="44" fontId="4" fillId="9" borderId="11" xfId="0" applyNumberFormat="1" applyFont="1" applyFill="1" applyBorder="1"/>
    <xf numFmtId="10" fontId="4" fillId="9" borderId="11" xfId="0" applyNumberFormat="1" applyFont="1" applyFill="1" applyBorder="1" applyAlignment="1">
      <alignment horizontal="center"/>
    </xf>
    <xf numFmtId="0" fontId="4" fillId="0" borderId="5" xfId="10" applyFont="1" applyBorder="1" applyAlignment="1">
      <alignment horizontal="center"/>
    </xf>
    <xf numFmtId="0" fontId="4" fillId="0" borderId="13" xfId="10" applyFont="1" applyBorder="1" applyAlignment="1">
      <alignment horizontal="center"/>
    </xf>
    <xf numFmtId="0" fontId="4" fillId="0" borderId="7" xfId="10" applyFont="1" applyBorder="1" applyAlignment="1">
      <alignment horizontal="center"/>
    </xf>
    <xf numFmtId="44" fontId="4" fillId="0" borderId="12" xfId="0" applyNumberFormat="1" applyFont="1" applyBorder="1"/>
    <xf numFmtId="181" fontId="4" fillId="9" borderId="12" xfId="3" applyNumberFormat="1" applyFont="1" applyFill="1" applyBorder="1"/>
    <xf numFmtId="44" fontId="4" fillId="9" borderId="12" xfId="0" applyNumberFormat="1" applyFont="1" applyFill="1" applyBorder="1"/>
    <xf numFmtId="10" fontId="4" fillId="9" borderId="12" xfId="0" applyNumberFormat="1" applyFont="1" applyFill="1" applyBorder="1" applyAlignment="1">
      <alignment horizontal="center"/>
    </xf>
    <xf numFmtId="14" fontId="4" fillId="9" borderId="11" xfId="10" applyNumberFormat="1" applyFont="1" applyFill="1" applyBorder="1"/>
    <xf numFmtId="44" fontId="4" fillId="9" borderId="11" xfId="10" applyNumberFormat="1" applyFont="1" applyFill="1" applyBorder="1"/>
    <xf numFmtId="0" fontId="4" fillId="9" borderId="11" xfId="10" applyFont="1" applyFill="1" applyBorder="1"/>
    <xf numFmtId="14" fontId="4" fillId="9" borderId="12" xfId="10" applyNumberFormat="1" applyFont="1" applyFill="1" applyBorder="1"/>
    <xf numFmtId="44" fontId="4" fillId="9" borderId="12" xfId="10" applyNumberFormat="1" applyFont="1" applyFill="1" applyBorder="1"/>
    <xf numFmtId="0" fontId="4" fillId="9" borderId="12" xfId="10" applyFont="1" applyFill="1" applyBorder="1"/>
    <xf numFmtId="0" fontId="4" fillId="0" borderId="4" xfId="0" applyFont="1" applyBorder="1" applyAlignment="1">
      <alignment horizontal="left"/>
    </xf>
    <xf numFmtId="181" fontId="4" fillId="0" borderId="12" xfId="3" applyNumberFormat="1" applyFont="1" applyFill="1" applyBorder="1"/>
    <xf numFmtId="10" fontId="4" fillId="0" borderId="12" xfId="0" applyNumberFormat="1" applyFont="1" applyBorder="1" applyAlignment="1">
      <alignment horizontal="center"/>
    </xf>
    <xf numFmtId="14" fontId="4" fillId="0" borderId="12" xfId="10" applyNumberFormat="1" applyFont="1" applyBorder="1"/>
    <xf numFmtId="44" fontId="4" fillId="0" borderId="12" xfId="10" applyNumberFormat="1" applyFont="1" applyBorder="1"/>
    <xf numFmtId="0" fontId="4" fillId="0" borderId="12" xfId="10" applyFont="1" applyBorder="1"/>
    <xf numFmtId="0" fontId="4" fillId="0" borderId="4" xfId="0" applyFont="1" applyFill="1" applyBorder="1" applyAlignment="1">
      <alignment horizontal="left"/>
    </xf>
    <xf numFmtId="0" fontId="4" fillId="0" borderId="5" xfId="0" applyFont="1" applyBorder="1" applyAlignment="1">
      <alignment horizontal="right"/>
    </xf>
    <xf numFmtId="0" fontId="4" fillId="0" borderId="6" xfId="0" applyFont="1" applyFill="1" applyBorder="1" applyAlignment="1">
      <alignment horizontal="left"/>
    </xf>
    <xf numFmtId="181" fontId="4" fillId="0" borderId="13" xfId="3" applyNumberFormat="1" applyFont="1" applyFill="1" applyBorder="1"/>
    <xf numFmtId="44" fontId="4" fillId="0" borderId="13" xfId="0" applyNumberFormat="1" applyFont="1" applyBorder="1"/>
    <xf numFmtId="10" fontId="4" fillId="0" borderId="13" xfId="0" applyNumberFormat="1" applyFont="1" applyBorder="1" applyAlignment="1">
      <alignment horizontal="center"/>
    </xf>
    <xf numFmtId="164" fontId="4" fillId="0" borderId="0" xfId="0" applyNumberFormat="1" applyFont="1" applyBorder="1"/>
    <xf numFmtId="181" fontId="4" fillId="0" borderId="0" xfId="3" applyNumberFormat="1" applyFont="1" applyFill="1" applyBorder="1"/>
    <xf numFmtId="164" fontId="4" fillId="0" borderId="0" xfId="3" applyNumberFormat="1" applyFont="1"/>
    <xf numFmtId="14" fontId="4" fillId="0" borderId="0" xfId="0" applyNumberFormat="1" applyFont="1" applyBorder="1" applyAlignment="1">
      <alignment horizontal="right"/>
    </xf>
    <xf numFmtId="10" fontId="4" fillId="0" borderId="0" xfId="0" applyNumberFormat="1" applyFont="1" applyAlignment="1">
      <alignment horizontal="center"/>
    </xf>
    <xf numFmtId="10" fontId="4" fillId="0" borderId="0" xfId="0" applyNumberFormat="1" applyFont="1"/>
    <xf numFmtId="44" fontId="4" fillId="0" borderId="0" xfId="4" applyFont="1"/>
    <xf numFmtId="164" fontId="4" fillId="0" borderId="0" xfId="3" applyNumberFormat="1" applyFont="1" applyBorder="1"/>
    <xf numFmtId="165" fontId="4" fillId="0" borderId="0" xfId="4" applyNumberFormat="1" applyFont="1" applyBorder="1"/>
    <xf numFmtId="44" fontId="4" fillId="0" borderId="0" xfId="0" applyNumberFormat="1" applyFont="1" applyBorder="1"/>
    <xf numFmtId="14" fontId="4" fillId="7" borderId="0" xfId="0" applyNumberFormat="1" applyFont="1" applyFill="1" applyBorder="1"/>
    <xf numFmtId="164" fontId="4" fillId="7" borderId="0" xfId="3" applyNumberFormat="1" applyFont="1" applyFill="1" applyBorder="1"/>
    <xf numFmtId="165" fontId="4" fillId="7" borderId="0" xfId="4" applyNumberFormat="1" applyFont="1" applyFill="1" applyBorder="1"/>
    <xf numFmtId="44" fontId="4" fillId="7" borderId="0" xfId="0" applyNumberFormat="1" applyFont="1" applyFill="1" applyBorder="1"/>
    <xf numFmtId="14" fontId="4" fillId="0" borderId="13" xfId="10" applyNumberFormat="1" applyFont="1" applyBorder="1"/>
    <xf numFmtId="44" fontId="4" fillId="0" borderId="13" xfId="10" applyNumberFormat="1" applyFont="1" applyBorder="1"/>
    <xf numFmtId="0" fontId="4" fillId="0" borderId="13" xfId="10" applyFont="1" applyBorder="1"/>
    <xf numFmtId="44" fontId="4" fillId="0" borderId="0" xfId="0" applyNumberFormat="1" applyFont="1"/>
    <xf numFmtId="0" fontId="4" fillId="0" borderId="0" xfId="7" applyFont="1"/>
    <xf numFmtId="165" fontId="4" fillId="0" borderId="0" xfId="0" applyNumberFormat="1" applyFont="1" applyBorder="1"/>
    <xf numFmtId="14" fontId="4" fillId="0" borderId="0" xfId="0" applyNumberFormat="1" applyFont="1" applyBorder="1"/>
    <xf numFmtId="0" fontId="4" fillId="3" borderId="0" xfId="0" applyFont="1" applyFill="1"/>
    <xf numFmtId="0" fontId="4" fillId="3" borderId="9" xfId="0" applyFont="1" applyFill="1" applyBorder="1" applyAlignment="1">
      <alignment horizontal="centerContinuous"/>
    </xf>
    <xf numFmtId="0" fontId="4" fillId="3" borderId="14" xfId="0" applyFont="1" applyFill="1" applyBorder="1" applyAlignment="1">
      <alignment horizontal="centerContinuous"/>
    </xf>
    <xf numFmtId="0" fontId="4" fillId="3" borderId="10" xfId="0" applyFont="1" applyFill="1" applyBorder="1" applyAlignment="1">
      <alignment horizontal="centerContinuous"/>
    </xf>
    <xf numFmtId="0" fontId="4" fillId="3" borderId="8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167" fontId="4" fillId="3" borderId="11" xfId="1" applyNumberFormat="1" applyFont="1" applyFill="1" applyBorder="1" applyAlignment="1">
      <alignment horizontal="center"/>
    </xf>
    <xf numFmtId="0" fontId="4" fillId="3" borderId="11" xfId="0" applyFont="1" applyFill="1" applyBorder="1"/>
    <xf numFmtId="0" fontId="4" fillId="3" borderId="12" xfId="0" applyFont="1" applyFill="1" applyBorder="1"/>
    <xf numFmtId="0" fontId="4" fillId="3" borderId="13" xfId="0" applyFont="1" applyFill="1" applyBorder="1"/>
    <xf numFmtId="184" fontId="4" fillId="3" borderId="13" xfId="4" applyNumberFormat="1" applyFont="1" applyFill="1" applyBorder="1"/>
    <xf numFmtId="0" fontId="20" fillId="7" borderId="14" xfId="0" applyFont="1" applyFill="1" applyBorder="1" applyAlignment="1">
      <alignment horizontal="centerContinuous"/>
    </xf>
    <xf numFmtId="0" fontId="21" fillId="7" borderId="1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0" borderId="0" xfId="0" applyFont="1" applyFill="1" applyBorder="1" applyAlignment="1"/>
    <xf numFmtId="0" fontId="4" fillId="7" borderId="14" xfId="0" applyFont="1" applyFill="1" applyBorder="1" applyAlignment="1">
      <alignment horizontal="centerContinuous"/>
    </xf>
    <xf numFmtId="0" fontId="4" fillId="7" borderId="10" xfId="0" applyFont="1" applyFill="1" applyBorder="1" applyAlignment="1">
      <alignment horizontal="centerContinuous"/>
    </xf>
    <xf numFmtId="0" fontId="4" fillId="7" borderId="0" xfId="0" applyFont="1" applyFill="1" applyBorder="1" applyAlignment="1"/>
    <xf numFmtId="174" fontId="4" fillId="0" borderId="14" xfId="0" applyNumberFormat="1" applyFont="1" applyBorder="1" applyAlignment="1">
      <alignment horizontal="centerContinuous"/>
    </xf>
    <xf numFmtId="174" fontId="4" fillId="0" borderId="10" xfId="0" applyNumberFormat="1" applyFont="1" applyBorder="1" applyAlignment="1">
      <alignment horizontal="centerContinuous"/>
    </xf>
    <xf numFmtId="0" fontId="4" fillId="0" borderId="0" xfId="0" applyFont="1" applyFill="1" applyAlignment="1"/>
    <xf numFmtId="0" fontId="4" fillId="0" borderId="10" xfId="0" applyFont="1" applyBorder="1" applyAlignment="1">
      <alignment horizontal="center"/>
    </xf>
    <xf numFmtId="174" fontId="4" fillId="0" borderId="12" xfId="0" applyNumberFormat="1" applyFont="1" applyBorder="1"/>
    <xf numFmtId="170" fontId="4" fillId="0" borderId="11" xfId="0" applyNumberFormat="1" applyFont="1" applyFill="1" applyBorder="1"/>
    <xf numFmtId="170" fontId="11" fillId="0" borderId="11" xfId="0" applyNumberFormat="1" applyFont="1" applyFill="1" applyBorder="1"/>
    <xf numFmtId="170" fontId="4" fillId="0" borderId="11" xfId="0" applyNumberFormat="1" applyFont="1" applyFill="1" applyBorder="1" applyAlignment="1">
      <alignment horizontal="center"/>
    </xf>
    <xf numFmtId="10" fontId="4" fillId="0" borderId="11" xfId="0" applyNumberFormat="1" applyFont="1" applyFill="1" applyBorder="1" applyAlignment="1">
      <alignment horizontal="center"/>
    </xf>
    <xf numFmtId="171" fontId="4" fillId="0" borderId="12" xfId="11" applyNumberFormat="1" applyFont="1" applyBorder="1"/>
    <xf numFmtId="0" fontId="4" fillId="0" borderId="12" xfId="0" applyFont="1" applyFill="1" applyBorder="1" applyAlignment="1">
      <alignment horizontal="center"/>
    </xf>
    <xf numFmtId="170" fontId="4" fillId="0" borderId="12" xfId="0" applyNumberFormat="1" applyFont="1" applyFill="1" applyBorder="1"/>
    <xf numFmtId="170" fontId="4" fillId="0" borderId="12" xfId="0" applyNumberFormat="1" applyFont="1" applyFill="1" applyBorder="1" applyAlignment="1">
      <alignment horizontal="center"/>
    </xf>
    <xf numFmtId="10" fontId="4" fillId="0" borderId="12" xfId="0" applyNumberFormat="1" applyFont="1" applyFill="1" applyBorder="1" applyAlignment="1">
      <alignment horizontal="center"/>
    </xf>
    <xf numFmtId="43" fontId="4" fillId="0" borderId="12" xfId="13" applyFont="1" applyBorder="1"/>
    <xf numFmtId="170" fontId="4" fillId="0" borderId="13" xfId="0" applyNumberFormat="1" applyFont="1" applyFill="1" applyBorder="1"/>
    <xf numFmtId="170" fontId="4" fillId="0" borderId="13" xfId="0" applyNumberFormat="1" applyFont="1" applyFill="1" applyBorder="1" applyAlignment="1">
      <alignment horizontal="center"/>
    </xf>
    <xf numFmtId="10" fontId="4" fillId="0" borderId="13" xfId="0" applyNumberFormat="1" applyFont="1" applyFill="1" applyBorder="1" applyAlignment="1">
      <alignment horizontal="center"/>
    </xf>
    <xf numFmtId="164" fontId="4" fillId="0" borderId="13" xfId="13" applyNumberFormat="1" applyFont="1" applyBorder="1"/>
    <xf numFmtId="9" fontId="4" fillId="0" borderId="13" xfId="11" applyFont="1" applyBorder="1"/>
    <xf numFmtId="0" fontId="11" fillId="0" borderId="38" xfId="0" applyFont="1" applyBorder="1" applyAlignment="1">
      <alignment horizontal="centerContinuous"/>
    </xf>
    <xf numFmtId="172" fontId="4" fillId="0" borderId="0" xfId="12" applyNumberFormat="1" applyFont="1" applyAlignment="1">
      <alignment horizontal="center"/>
    </xf>
    <xf numFmtId="172" fontId="4" fillId="0" borderId="0" xfId="12" applyNumberFormat="1" applyFont="1" applyBorder="1" applyAlignment="1">
      <alignment horizontal="center"/>
    </xf>
    <xf numFmtId="175" fontId="4" fillId="0" borderId="8" xfId="0" applyNumberFormat="1" applyFont="1" applyFill="1" applyBorder="1" applyAlignment="1">
      <alignment horizontal="center"/>
    </xf>
    <xf numFmtId="0" fontId="20" fillId="0" borderId="0" xfId="0" applyFont="1" applyFill="1" applyBorder="1" applyAlignment="1"/>
    <xf numFmtId="174" fontId="4" fillId="0" borderId="13" xfId="0" applyNumberFormat="1" applyFont="1" applyBorder="1"/>
    <xf numFmtId="174" fontId="4" fillId="0" borderId="0" xfId="0" applyNumberFormat="1" applyFont="1"/>
    <xf numFmtId="175" fontId="4" fillId="0" borderId="0" xfId="0" applyNumberFormat="1" applyFont="1"/>
    <xf numFmtId="10" fontId="4" fillId="0" borderId="0" xfId="11" applyNumberFormat="1" applyFont="1" applyFill="1" applyBorder="1" applyAlignment="1"/>
    <xf numFmtId="9" fontId="4" fillId="0" borderId="0" xfId="11" applyFont="1"/>
    <xf numFmtId="174" fontId="4" fillId="0" borderId="11" xfId="0" applyNumberFormat="1" applyFont="1" applyBorder="1"/>
    <xf numFmtId="0" fontId="4" fillId="0" borderId="8" xfId="0" applyFont="1" applyBorder="1" applyAlignment="1">
      <alignment horizontal="left" indent="1"/>
    </xf>
    <xf numFmtId="174" fontId="4" fillId="0" borderId="8" xfId="0" applyNumberFormat="1" applyFont="1" applyBorder="1"/>
    <xf numFmtId="175" fontId="4" fillId="0" borderId="0" xfId="0" applyNumberFormat="1" applyFont="1" applyAlignment="1">
      <alignment horizontal="centerContinuous"/>
    </xf>
    <xf numFmtId="174" fontId="38" fillId="0" borderId="0" xfId="0" applyNumberFormat="1" applyFont="1" applyFill="1" applyBorder="1" applyAlignment="1"/>
    <xf numFmtId="172" fontId="4" fillId="0" borderId="0" xfId="0" applyNumberFormat="1" applyFont="1" applyFill="1"/>
    <xf numFmtId="0" fontId="14" fillId="0" borderId="0" xfId="14" applyFont="1"/>
    <xf numFmtId="0" fontId="28" fillId="0" borderId="0" xfId="14" applyFont="1"/>
    <xf numFmtId="9" fontId="39" fillId="0" borderId="0" xfId="14" applyNumberFormat="1" applyFont="1"/>
    <xf numFmtId="187" fontId="39" fillId="0" borderId="7" xfId="15" applyNumberFormat="1" applyFont="1" applyBorder="1"/>
    <xf numFmtId="0" fontId="3" fillId="0" borderId="0" xfId="14" applyFont="1"/>
    <xf numFmtId="187" fontId="3" fillId="5" borderId="0" xfId="15" applyNumberFormat="1" applyFont="1" applyFill="1"/>
    <xf numFmtId="0" fontId="3" fillId="5" borderId="0" xfId="14" applyFont="1" applyFill="1"/>
    <xf numFmtId="187" fontId="3" fillId="4" borderId="0" xfId="15" applyNumberFormat="1" applyFont="1" applyFill="1"/>
    <xf numFmtId="187" fontId="3" fillId="2" borderId="0" xfId="15" applyNumberFormat="1" applyFont="1" applyFill="1"/>
    <xf numFmtId="187" fontId="3" fillId="6" borderId="0" xfId="15" applyNumberFormat="1" applyFont="1" applyFill="1"/>
    <xf numFmtId="187" fontId="3" fillId="0" borderId="0" xfId="15" applyNumberFormat="1" applyFont="1"/>
    <xf numFmtId="44" fontId="3" fillId="0" borderId="0" xfId="15" applyFont="1"/>
    <xf numFmtId="164" fontId="3" fillId="0" borderId="0" xfId="16" applyNumberFormat="1" applyFont="1"/>
    <xf numFmtId="173" fontId="3" fillId="0" borderId="0" xfId="15" applyNumberFormat="1" applyFont="1"/>
    <xf numFmtId="3" fontId="3" fillId="0" borderId="0" xfId="14" applyNumberFormat="1" applyFont="1"/>
    <xf numFmtId="10" fontId="3" fillId="0" borderId="0" xfId="14" applyNumberFormat="1" applyFont="1"/>
    <xf numFmtId="164" fontId="3" fillId="0" borderId="0" xfId="14" applyNumberFormat="1" applyFont="1"/>
    <xf numFmtId="169" fontId="3" fillId="0" borderId="0" xfId="15" applyNumberFormat="1" applyFont="1"/>
    <xf numFmtId="169" fontId="3" fillId="0" borderId="0" xfId="14" applyNumberFormat="1" applyFont="1"/>
    <xf numFmtId="0" fontId="3" fillId="0" borderId="0" xfId="14" applyFont="1" applyAlignment="1">
      <alignment horizontal="right"/>
    </xf>
    <xf numFmtId="9" fontId="3" fillId="0" borderId="0" xfId="14" applyNumberFormat="1" applyFont="1"/>
    <xf numFmtId="9" fontId="3" fillId="0" borderId="0" xfId="14" applyNumberFormat="1" applyFont="1" applyAlignment="1">
      <alignment horizontal="right"/>
    </xf>
    <xf numFmtId="171" fontId="3" fillId="0" borderId="0" xfId="17" applyNumberFormat="1" applyFont="1"/>
    <xf numFmtId="44" fontId="3" fillId="0" borderId="0" xfId="14" applyNumberFormat="1" applyFont="1"/>
    <xf numFmtId="171" fontId="3" fillId="0" borderId="0" xfId="14" applyNumberFormat="1" applyFont="1"/>
    <xf numFmtId="170" fontId="18" fillId="0" borderId="0" xfId="4" applyNumberFormat="1" applyFont="1" applyFill="1"/>
    <xf numFmtId="0" fontId="40" fillId="0" borderId="0" xfId="0" applyFont="1"/>
    <xf numFmtId="0" fontId="41" fillId="7" borderId="16" xfId="0" applyFont="1" applyFill="1" applyBorder="1" applyAlignment="1">
      <alignment horizontal="centerContinuous"/>
    </xf>
    <xf numFmtId="0" fontId="41" fillId="7" borderId="17" xfId="0" applyFont="1" applyFill="1" applyBorder="1" applyAlignment="1">
      <alignment horizontal="centerContinuous"/>
    </xf>
    <xf numFmtId="0" fontId="42" fillId="7" borderId="17" xfId="0" applyFont="1" applyFill="1" applyBorder="1" applyAlignment="1">
      <alignment horizontal="centerContinuous"/>
    </xf>
    <xf numFmtId="0" fontId="42" fillId="7" borderId="18" xfId="0" applyFont="1" applyFill="1" applyBorder="1" applyAlignment="1">
      <alignment horizontal="centerContinuous"/>
    </xf>
    <xf numFmtId="0" fontId="40" fillId="0" borderId="8" xfId="0" applyFont="1" applyBorder="1" applyAlignment="1">
      <alignment horizontal="center"/>
    </xf>
    <xf numFmtId="0" fontId="40" fillId="0" borderId="9" xfId="0" applyFont="1" applyBorder="1" applyAlignment="1">
      <alignment horizontal="centerContinuous"/>
    </xf>
    <xf numFmtId="0" fontId="40" fillId="0" borderId="14" xfId="0" applyFont="1" applyBorder="1" applyAlignment="1">
      <alignment horizontal="centerContinuous"/>
    </xf>
    <xf numFmtId="0" fontId="40" fillId="0" borderId="11" xfId="0" applyFont="1" applyBorder="1" applyAlignment="1">
      <alignment horizontal="center"/>
    </xf>
    <xf numFmtId="0" fontId="42" fillId="7" borderId="19" xfId="0" applyFont="1" applyFill="1" applyBorder="1"/>
    <xf numFmtId="0" fontId="42" fillId="0" borderId="0" xfId="0" applyFont="1" applyFill="1" applyBorder="1"/>
    <xf numFmtId="0" fontId="42" fillId="0" borderId="0" xfId="0" applyFont="1" applyBorder="1"/>
    <xf numFmtId="0" fontId="42" fillId="0" borderId="15" xfId="0" applyFont="1" applyBorder="1"/>
    <xf numFmtId="0" fontId="42" fillId="7" borderId="20" xfId="0" applyFont="1" applyFill="1" applyBorder="1"/>
    <xf numFmtId="0" fontId="40" fillId="0" borderId="9" xfId="0" applyFont="1" applyBorder="1" applyAlignment="1">
      <alignment horizontal="center"/>
    </xf>
    <xf numFmtId="0" fontId="40" fillId="0" borderId="13" xfId="0" applyFont="1" applyBorder="1" applyAlignment="1">
      <alignment horizontal="center"/>
    </xf>
    <xf numFmtId="174" fontId="40" fillId="0" borderId="0" xfId="0" applyNumberFormat="1" applyFont="1"/>
    <xf numFmtId="188" fontId="40" fillId="0" borderId="0" xfId="0" applyNumberFormat="1" applyFont="1"/>
    <xf numFmtId="0" fontId="42" fillId="7" borderId="29" xfId="0" applyFont="1" applyFill="1" applyBorder="1"/>
    <xf numFmtId="0" fontId="42" fillId="0" borderId="9" xfId="0" applyFont="1" applyBorder="1" applyAlignment="1">
      <alignment horizontal="centerContinuous"/>
    </xf>
    <xf numFmtId="0" fontId="42" fillId="0" borderId="14" xfId="0" applyFont="1" applyBorder="1" applyAlignment="1">
      <alignment horizontal="centerContinuous"/>
    </xf>
    <xf numFmtId="0" fontId="42" fillId="0" borderId="10" xfId="0" applyFont="1" applyBorder="1" applyAlignment="1">
      <alignment horizontal="centerContinuous"/>
    </xf>
    <xf numFmtId="0" fontId="42" fillId="7" borderId="30" xfId="0" applyFont="1" applyFill="1" applyBorder="1"/>
    <xf numFmtId="0" fontId="43" fillId="7" borderId="0" xfId="0" applyFont="1" applyFill="1" applyAlignment="1">
      <alignment horizontal="centerContinuous"/>
    </xf>
    <xf numFmtId="0" fontId="40" fillId="7" borderId="0" xfId="0" applyFont="1" applyFill="1" applyAlignment="1">
      <alignment horizontal="centerContinuous"/>
    </xf>
    <xf numFmtId="3" fontId="40" fillId="0" borderId="0" xfId="0" applyNumberFormat="1" applyFont="1"/>
    <xf numFmtId="0" fontId="42" fillId="0" borderId="8" xfId="0" applyFont="1" applyBorder="1" applyAlignment="1">
      <alignment horizontal="center"/>
    </xf>
    <xf numFmtId="0" fontId="40" fillId="7" borderId="0" xfId="0" applyFont="1" applyFill="1"/>
    <xf numFmtId="0" fontId="42" fillId="0" borderId="11" xfId="0" applyFont="1" applyBorder="1" applyAlignment="1">
      <alignment horizontal="left" indent="2"/>
    </xf>
    <xf numFmtId="43" fontId="44" fillId="0" borderId="11" xfId="3" applyNumberFormat="1" applyFont="1" applyBorder="1"/>
    <xf numFmtId="0" fontId="42" fillId="0" borderId="11" xfId="0" applyFont="1" applyBorder="1"/>
    <xf numFmtId="0" fontId="40" fillId="0" borderId="10" xfId="0" applyFont="1" applyBorder="1" applyAlignment="1">
      <alignment horizontal="centerContinuous"/>
    </xf>
    <xf numFmtId="0" fontId="42" fillId="0" borderId="12" xfId="0" applyFont="1" applyBorder="1" applyAlignment="1">
      <alignment horizontal="left" indent="2"/>
    </xf>
    <xf numFmtId="10" fontId="44" fillId="0" borderId="12" xfId="0" applyNumberFormat="1" applyFont="1" applyBorder="1"/>
    <xf numFmtId="0" fontId="42" fillId="0" borderId="12" xfId="0" applyFont="1" applyBorder="1"/>
    <xf numFmtId="164" fontId="42" fillId="0" borderId="12" xfId="0" applyNumberFormat="1" applyFont="1" applyBorder="1"/>
    <xf numFmtId="0" fontId="42" fillId="0" borderId="13" xfId="0" applyFont="1" applyBorder="1" applyAlignment="1">
      <alignment horizontal="left" indent="2"/>
    </xf>
    <xf numFmtId="164" fontId="42" fillId="0" borderId="13" xfId="0" applyNumberFormat="1" applyFont="1" applyBorder="1"/>
    <xf numFmtId="0" fontId="42" fillId="0" borderId="13" xfId="0" applyFont="1" applyBorder="1"/>
    <xf numFmtId="174" fontId="40" fillId="0" borderId="11" xfId="0" applyNumberFormat="1" applyFont="1" applyBorder="1"/>
    <xf numFmtId="44" fontId="42" fillId="0" borderId="0" xfId="4" applyFont="1" applyBorder="1"/>
    <xf numFmtId="188" fontId="40" fillId="0" borderId="12" xfId="0" applyNumberFormat="1" applyFont="1" applyBorder="1"/>
    <xf numFmtId="174" fontId="40" fillId="0" borderId="13" xfId="0" applyNumberFormat="1" applyFont="1" applyBorder="1" applyAlignment="1">
      <alignment horizontal="center"/>
    </xf>
    <xf numFmtId="174" fontId="40" fillId="0" borderId="13" xfId="0" applyNumberFormat="1" applyFont="1" applyBorder="1"/>
    <xf numFmtId="174" fontId="40" fillId="0" borderId="0" xfId="0" applyNumberFormat="1" applyFont="1" applyBorder="1" applyAlignment="1">
      <alignment horizontal="center"/>
    </xf>
    <xf numFmtId="174" fontId="40" fillId="0" borderId="0" xfId="0" applyNumberFormat="1" applyFont="1" applyBorder="1"/>
    <xf numFmtId="164" fontId="44" fillId="0" borderId="11" xfId="3" applyNumberFormat="1" applyFont="1" applyBorder="1"/>
    <xf numFmtId="7" fontId="40" fillId="0" borderId="11" xfId="0" applyNumberFormat="1" applyFont="1" applyBorder="1"/>
    <xf numFmtId="7" fontId="40" fillId="0" borderId="12" xfId="0" applyNumberFormat="1" applyFont="1" applyBorder="1"/>
    <xf numFmtId="7" fontId="40" fillId="0" borderId="13" xfId="0" applyNumberFormat="1" applyFont="1" applyBorder="1"/>
    <xf numFmtId="0" fontId="2" fillId="0" borderId="0" xfId="0" applyFont="1"/>
    <xf numFmtId="0" fontId="4" fillId="5" borderId="9" xfId="0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/>
    </xf>
    <xf numFmtId="0" fontId="3" fillId="0" borderId="7" xfId="14" applyFont="1" applyBorder="1" applyAlignment="1">
      <alignment horizontal="center"/>
    </xf>
  </cellXfs>
  <cellStyles count="18">
    <cellStyle name="Comma" xfId="3" builtinId="3"/>
    <cellStyle name="Comma 2" xfId="13" xr:uid="{00000000-0005-0000-0000-000001000000}"/>
    <cellStyle name="Comma 3" xfId="16" xr:uid="{61411D7E-FABB-49E4-84F8-AF5193F6D1FE}"/>
    <cellStyle name="Currency" xfId="4" builtinId="4"/>
    <cellStyle name="Currency 2" xfId="8" xr:uid="{00000000-0005-0000-0000-000003000000}"/>
    <cellStyle name="Currency 3" xfId="12" xr:uid="{00000000-0005-0000-0000-000004000000}"/>
    <cellStyle name="Currency 4" xfId="15" xr:uid="{A3179C56-A2FE-4623-9D19-FFF568346F6F}"/>
    <cellStyle name="Hyperlink" xfId="2" builtinId="8"/>
    <cellStyle name="Hyperlink 2" xfId="6" xr:uid="{00000000-0005-0000-0000-000006000000}"/>
    <cellStyle name="Normal" xfId="0" builtinId="0" customBuiltin="1"/>
    <cellStyle name="Normal 2" xfId="5" xr:uid="{00000000-0005-0000-0000-000008000000}"/>
    <cellStyle name="Normal 3" xfId="14" xr:uid="{39F12070-733A-4AFA-A332-81D21E37336C}"/>
    <cellStyle name="Normal 7" xfId="7" xr:uid="{00000000-0005-0000-0000-000009000000}"/>
    <cellStyle name="Normal_Departure Costs" xfId="10" xr:uid="{00000000-0005-0000-0000-00000A000000}"/>
    <cellStyle name="Percent" xfId="1" builtinId="5"/>
    <cellStyle name="Percent 2" xfId="9" xr:uid="{00000000-0005-0000-0000-00000C000000}"/>
    <cellStyle name="Percent 3" xfId="11" xr:uid="{00000000-0005-0000-0000-00000D000000}"/>
    <cellStyle name="Percent 4" xfId="17" xr:uid="{D773B38E-FBCC-43F0-96E5-02D100EAC92A}"/>
  </cellStyles>
  <dxfs count="0"/>
  <tableStyles count="0" defaultTableStyle="TableStyleMedium2" defaultPivotStyle="PivotStyleMedium9"/>
  <colors>
    <mruColors>
      <color rgb="FF002D72"/>
      <color rgb="FFFFFF99"/>
      <color rgb="FFFFFFCC"/>
      <color rgb="FFF2DCDB"/>
      <color rgb="FFF2DB72"/>
      <color rgb="FF948A54"/>
      <color rgb="FFFABF8F"/>
      <color rgb="FFFF9966"/>
      <color rgb="FFFF9797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png@01D3EB91.22C7C8A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590550</xdr:colOff>
      <xdr:row>2</xdr:row>
      <xdr:rowOff>114300</xdr:rowOff>
    </xdr:from>
    <xdr:to>
      <xdr:col>17</xdr:col>
      <xdr:colOff>428625</xdr:colOff>
      <xdr:row>13</xdr:row>
      <xdr:rowOff>28575</xdr:rowOff>
    </xdr:to>
    <xdr:pic>
      <xdr:nvPicPr>
        <xdr:cNvPr id="2" name="Picture 1" descr="cid:image003.png@01D3EB91.22C7C8A0">
          <a:extLst>
            <a:ext uri="{FF2B5EF4-FFF2-40B4-BE49-F238E27FC236}">
              <a16:creationId xmlns:a16="http://schemas.microsoft.com/office/drawing/2014/main" id="{4FAB35BD-830C-4216-99D8-CF924299B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0" y="495300"/>
          <a:ext cx="2276475" cy="2009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szablya\SharePoint\Large%20Power%20Solutions%20-%20RS17%202019%20U\2018%20Files\EVI%20Rate%20Class%20components_07022018_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4%202019RS17U%20Incremental%20Transmission%20Assessmen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2%202019RS17U%20System%20and%20Area%20Hourly%20Load%20Data%20-%20GCPD.LD%20From%20PI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1%202019RS17U%20Actual%20RS17%20Customer%20Loads%202017-20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 Plus"/>
      <sheetName val="Trans Call"/>
      <sheetName val="TCall Price B-76"/>
      <sheetName val="Distribution adder"/>
      <sheetName val="Overall Put"/>
      <sheetName val="BitMEX Price History 2018-4-24"/>
    </sheetNames>
    <sheetDataSet>
      <sheetData sheetId="0"/>
      <sheetData sheetId="1"/>
      <sheetData sheetId="2">
        <row r="4">
          <cell r="D4">
            <v>19.875856164383563</v>
          </cell>
        </row>
        <row r="5">
          <cell r="D5">
            <v>0.62999999999999989</v>
          </cell>
        </row>
        <row r="6">
          <cell r="D6">
            <v>3</v>
          </cell>
        </row>
        <row r="7">
          <cell r="D7">
            <v>0</v>
          </cell>
        </row>
        <row r="8">
          <cell r="D8">
            <v>0.5</v>
          </cell>
        </row>
        <row r="10">
          <cell r="D10">
            <v>4.4185091799164686</v>
          </cell>
        </row>
        <row r="11">
          <cell r="D11">
            <v>3.5524837761320303</v>
          </cell>
        </row>
        <row r="15">
          <cell r="D15">
            <v>19.245877605173142</v>
          </cell>
        </row>
      </sheetData>
      <sheetData sheetId="3">
        <row r="19">
          <cell r="C19">
            <v>3.3645758231194423E-3</v>
          </cell>
        </row>
      </sheetData>
      <sheetData sheetId="4">
        <row r="33">
          <cell r="H33">
            <v>10.965797958515608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-50 Transmission Loading"/>
    </sheetNames>
    <definedNames>
      <definedName name="Incremental_Transmission_Capacity__MVA" refersTo="='20-50 Transmission Loading'!$E$5"/>
      <definedName name="System_Xmission_Limit_2017__MW" refersTo="='20-50 Transmission Loading'!$E$4"/>
      <definedName name="Year_Incremental_Transmission_Needed" refersTo="='20-50 Transmission Loading'!$E$9"/>
    </definedNames>
    <sheetDataSet>
      <sheetData sheetId="0">
        <row r="4">
          <cell r="E4">
            <v>1125</v>
          </cell>
        </row>
        <row r="5">
          <cell r="E5">
            <v>200</v>
          </cell>
        </row>
        <row r="9">
          <cell r="E9">
            <v>2023</v>
          </cell>
        </row>
        <row r="15">
          <cell r="L15">
            <v>0</v>
          </cell>
          <cell r="M15">
            <v>0</v>
          </cell>
          <cell r="O15">
            <v>0</v>
          </cell>
          <cell r="P15">
            <v>0</v>
          </cell>
        </row>
        <row r="16">
          <cell r="R16">
            <v>6920.2750186498743</v>
          </cell>
          <cell r="S16">
            <v>1880.5157230578916</v>
          </cell>
          <cell r="U16">
            <v>163176.78678107297</v>
          </cell>
          <cell r="V16">
            <v>1104540.7609975291</v>
          </cell>
          <cell r="X16">
            <v>793639.65245013498</v>
          </cell>
          <cell r="Y16">
            <v>474077.89532846725</v>
          </cell>
          <cell r="AA16">
            <v>1110078.2781286973</v>
          </cell>
          <cell r="AB16">
            <v>157639.26964990492</v>
          </cell>
          <cell r="AD16">
            <v>1267717.5477786022</v>
          </cell>
          <cell r="AE16">
            <v>0</v>
          </cell>
          <cell r="AG16">
            <v>1267717.5477786022</v>
          </cell>
          <cell r="AH16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urly System Load"/>
      <sheetName val="Hourly Area to System Calcs"/>
      <sheetName val="Hourly Area Load"/>
      <sheetName val="Raw Hourly Area Load"/>
      <sheetName val="GCPD.LD 2013-2019"/>
      <sheetName val="2013"/>
      <sheetName val="2014"/>
      <sheetName val="2015"/>
      <sheetName val="2016"/>
      <sheetName val="2017"/>
      <sheetName val="2018"/>
      <sheetName val="2019"/>
      <sheetName val="Grant County PUD Data 12-19"/>
      <sheetName val="2 2019RS17U System and Area Hou"/>
    </sheetNames>
    <definedNames>
      <definedName name="System_Load_Factor" refersTo="='Hourly System Load'!$O$7"/>
    </definedNames>
    <sheetDataSet>
      <sheetData sheetId="0">
        <row r="7">
          <cell r="O7">
            <v>0.7235830752160971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Info"/>
      <sheetName val="Study Period kWh"/>
      <sheetName val="Customer Size"/>
      <sheetName val="kWh Summary All RSs"/>
      <sheetName val="1 2019RS17U Actual RS17 Custome"/>
    </sheetNames>
    <definedNames>
      <definedName name="Expected_2020_17a_LF" refersTo="='Summary Info'!$X$6"/>
      <definedName name="Expected_2020_17b_LF" refersTo="='Summary Info'!$X$9"/>
    </definedNames>
    <sheetDataSet>
      <sheetData sheetId="0">
        <row r="5">
          <cell r="X5">
            <v>540.29999999999995</v>
          </cell>
        </row>
        <row r="6">
          <cell r="X6">
            <v>0.93376161807308322</v>
          </cell>
        </row>
        <row r="8">
          <cell r="X8">
            <v>23344.5</v>
          </cell>
        </row>
        <row r="9">
          <cell r="X9">
            <v>0.92851780801009542</v>
          </cell>
        </row>
      </sheetData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mazon.co.uk/Complete-Guide-Options-Pricing-Formulas/dp/0786312408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wecc.biz/Reliability/2014_TEPPC_Transmission_CapCost_Report_B+V.pdf" TargetMode="External"/><Relationship Id="rId1" Type="http://schemas.openxmlformats.org/officeDocument/2006/relationships/hyperlink" Target="https://www.wecc.biz/Reliability/2014_TEPPC_Transmission_CapCost_Report_B+V.pdf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AF49"/>
  <sheetViews>
    <sheetView zoomScale="80" zoomScaleNormal="80" workbookViewId="0">
      <selection activeCell="K3" sqref="K3:R10"/>
    </sheetView>
  </sheetViews>
  <sheetFormatPr defaultRowHeight="15"/>
  <cols>
    <col min="1" max="3" width="3.625" style="106" customWidth="1"/>
    <col min="4" max="4" width="9.625" style="106" bestFit="1" customWidth="1"/>
    <col min="5" max="5" width="10.5" style="106" bestFit="1" customWidth="1"/>
    <col min="6" max="6" width="9.625" style="106" bestFit="1" customWidth="1"/>
    <col min="7" max="7" width="10.5" style="106" bestFit="1" customWidth="1"/>
    <col min="8" max="10" width="3.625" style="106" customWidth="1"/>
    <col min="11" max="12" width="2.625" style="106" customWidth="1"/>
    <col min="13" max="13" width="28.5" style="106" customWidth="1"/>
    <col min="14" max="14" width="14.75" style="106" customWidth="1"/>
    <col min="15" max="15" width="21.875" style="106" customWidth="1"/>
    <col min="16" max="16" width="13.5" style="106" customWidth="1"/>
    <col min="17" max="21" width="3.625" style="106" customWidth="1"/>
    <col min="22" max="22" width="6.5" style="106" bestFit="1" customWidth="1"/>
    <col min="23" max="23" width="9.375" style="106" bestFit="1" customWidth="1"/>
    <col min="24" max="24" width="9" style="106"/>
    <col min="25" max="25" width="17.625" style="106" bestFit="1" customWidth="1"/>
    <col min="26" max="26" width="9.375" style="106" bestFit="1" customWidth="1"/>
    <col min="27" max="27" width="3.625" style="106" customWidth="1"/>
    <col min="28" max="28" width="9.875" style="106" customWidth="1"/>
    <col min="29" max="29" width="17.625" style="106" bestFit="1" customWidth="1"/>
    <col min="30" max="30" width="9.375" style="106" bestFit="1" customWidth="1"/>
    <col min="31" max="32" width="3.625" style="106" customWidth="1"/>
    <col min="33" max="16384" width="9" style="106"/>
  </cols>
  <sheetData>
    <row r="1" spans="2:32" ht="15.75" thickBot="1"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</row>
    <row r="2" spans="2:32" ht="15.75" thickTop="1">
      <c r="B2" s="226"/>
      <c r="C2" s="226"/>
      <c r="D2" s="226"/>
      <c r="E2" s="226"/>
      <c r="F2" s="226"/>
      <c r="G2" s="226"/>
      <c r="H2" s="226"/>
      <c r="I2" s="226"/>
      <c r="J2" s="226"/>
      <c r="K2" s="16" t="s">
        <v>0</v>
      </c>
      <c r="L2" s="176"/>
      <c r="M2" s="227"/>
      <c r="N2" s="227"/>
      <c r="O2" s="227"/>
      <c r="P2" s="227"/>
      <c r="Q2" s="227"/>
      <c r="R2" s="228"/>
      <c r="S2" s="226"/>
      <c r="T2" s="226"/>
      <c r="U2" s="226"/>
      <c r="V2" s="226"/>
      <c r="W2" s="226"/>
      <c r="X2" s="226"/>
      <c r="Y2" s="226"/>
      <c r="Z2" s="226"/>
      <c r="AA2" s="226"/>
      <c r="AB2" s="226"/>
      <c r="AC2" s="226"/>
      <c r="AD2" s="226"/>
      <c r="AE2" s="226"/>
      <c r="AF2" s="226"/>
    </row>
    <row r="3" spans="2:32">
      <c r="B3" s="46" t="s">
        <v>1</v>
      </c>
      <c r="C3" s="229"/>
      <c r="D3" s="229"/>
      <c r="E3" s="229"/>
      <c r="F3" s="229"/>
      <c r="G3" s="229"/>
      <c r="H3" s="229"/>
      <c r="I3" s="229"/>
      <c r="J3" s="226"/>
      <c r="K3" s="230"/>
      <c r="L3" s="231"/>
      <c r="M3" s="232"/>
      <c r="N3" s="232"/>
      <c r="O3" s="233"/>
      <c r="P3" s="233"/>
      <c r="Q3" s="233"/>
      <c r="R3" s="234"/>
      <c r="S3" s="226"/>
      <c r="T3" s="46" t="s">
        <v>2</v>
      </c>
      <c r="U3" s="229"/>
      <c r="V3" s="229"/>
      <c r="W3" s="229"/>
      <c r="X3" s="229"/>
      <c r="Y3" s="229"/>
      <c r="Z3" s="229"/>
      <c r="AA3" s="229"/>
      <c r="AB3" s="229"/>
      <c r="AC3" s="229"/>
      <c r="AD3" s="229"/>
      <c r="AE3" s="229"/>
      <c r="AF3" s="229"/>
    </row>
    <row r="4" spans="2:32">
      <c r="B4" s="229"/>
      <c r="C4" s="226"/>
      <c r="D4" s="226"/>
      <c r="E4" s="226"/>
      <c r="F4" s="226"/>
      <c r="G4" s="226"/>
      <c r="H4" s="226"/>
      <c r="I4" s="229"/>
      <c r="J4" s="226"/>
      <c r="K4" s="235"/>
      <c r="L4" s="231"/>
      <c r="M4" s="236" t="s">
        <v>3</v>
      </c>
      <c r="N4" s="237"/>
      <c r="O4" s="238"/>
      <c r="P4" s="232"/>
      <c r="Q4" s="232"/>
      <c r="R4" s="239"/>
      <c r="S4" s="226"/>
      <c r="T4" s="240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0"/>
    </row>
    <row r="5" spans="2:32">
      <c r="B5" s="229"/>
      <c r="C5" s="226"/>
      <c r="D5" s="226"/>
      <c r="E5" s="242">
        <v>2019</v>
      </c>
      <c r="F5" s="242">
        <v>2020</v>
      </c>
      <c r="G5" s="242">
        <v>2021</v>
      </c>
      <c r="H5" s="226"/>
      <c r="I5" s="229"/>
      <c r="J5" s="226"/>
      <c r="K5" s="235"/>
      <c r="L5" s="231"/>
      <c r="M5" s="242" t="s">
        <v>4</v>
      </c>
      <c r="N5" s="242" t="s">
        <v>5</v>
      </c>
      <c r="O5" s="242" t="s">
        <v>6</v>
      </c>
      <c r="P5" s="232"/>
      <c r="Q5" s="232"/>
      <c r="R5" s="239"/>
      <c r="S5" s="226"/>
      <c r="T5" s="240"/>
      <c r="U5" s="241"/>
      <c r="V5" s="243" t="s">
        <v>7</v>
      </c>
      <c r="W5" s="244"/>
      <c r="X5" s="244"/>
      <c r="Y5" s="244"/>
      <c r="Z5" s="245"/>
      <c r="AA5" s="241"/>
      <c r="AB5" s="241"/>
      <c r="AC5" s="853" t="s">
        <v>8</v>
      </c>
      <c r="AD5" s="854"/>
      <c r="AE5" s="241"/>
      <c r="AF5" s="240"/>
    </row>
    <row r="6" spans="2:32">
      <c r="B6" s="229"/>
      <c r="C6" s="226"/>
      <c r="D6" s="246" t="s">
        <v>9</v>
      </c>
      <c r="E6" s="247">
        <v>6.1987507507507505E-2</v>
      </c>
      <c r="F6" s="247">
        <v>8.1725540896995574E-2</v>
      </c>
      <c r="G6" s="247">
        <v>0.1221907211959941</v>
      </c>
      <c r="H6" s="226"/>
      <c r="I6" s="229"/>
      <c r="J6" s="226"/>
      <c r="K6" s="235"/>
      <c r="L6" s="231"/>
      <c r="M6" s="248" t="s">
        <v>10</v>
      </c>
      <c r="N6" s="178">
        <v>30</v>
      </c>
      <c r="O6" s="249" t="s">
        <v>11</v>
      </c>
      <c r="P6" s="232"/>
      <c r="Q6" s="232"/>
      <c r="R6" s="239"/>
      <c r="S6" s="226"/>
      <c r="T6" s="240"/>
      <c r="U6" s="241"/>
      <c r="V6" s="250"/>
      <c r="W6" s="251"/>
      <c r="X6" s="251"/>
      <c r="Y6" s="252" t="s">
        <v>12</v>
      </c>
      <c r="Z6" s="253"/>
      <c r="AA6" s="241"/>
      <c r="AB6" s="241"/>
      <c r="AC6" s="250" t="s">
        <v>13</v>
      </c>
      <c r="AD6" s="254">
        <f>$Z$7</f>
        <v>5000</v>
      </c>
      <c r="AE6" s="241"/>
      <c r="AF6" s="240"/>
    </row>
    <row r="7" spans="2:32">
      <c r="B7" s="229"/>
      <c r="C7" s="226"/>
      <c r="D7" s="255" t="s">
        <v>14</v>
      </c>
      <c r="E7" s="256">
        <v>6.2058493201588683E-2</v>
      </c>
      <c r="F7" s="256">
        <f>AVERAGE(E7,G7)</f>
        <v>8.6849746600794336E-2</v>
      </c>
      <c r="G7" s="256">
        <f>RS17a_Average</f>
        <v>0.111641</v>
      </c>
      <c r="H7" s="226"/>
      <c r="I7" s="229"/>
      <c r="J7" s="226"/>
      <c r="K7" s="235"/>
      <c r="L7" s="231"/>
      <c r="M7" s="257" t="s">
        <v>15</v>
      </c>
      <c r="N7" s="18">
        <v>0.92500000000000004</v>
      </c>
      <c r="O7" s="258"/>
      <c r="P7" s="232"/>
      <c r="Q7" s="232"/>
      <c r="R7" s="239"/>
      <c r="S7" s="226"/>
      <c r="T7" s="240"/>
      <c r="U7" s="259"/>
      <c r="V7" s="250" t="s">
        <v>16</v>
      </c>
      <c r="W7" s="260">
        <v>0.55000000000000004</v>
      </c>
      <c r="X7" s="251" t="s">
        <v>17</v>
      </c>
      <c r="Y7" s="251" t="s">
        <v>13</v>
      </c>
      <c r="Z7" s="211">
        <v>5000</v>
      </c>
      <c r="AA7" s="241"/>
      <c r="AB7" s="241"/>
      <c r="AC7" s="250"/>
      <c r="AD7" s="261"/>
      <c r="AE7" s="241"/>
      <c r="AF7" s="240"/>
    </row>
    <row r="8" spans="2:32">
      <c r="B8" s="229"/>
      <c r="C8" s="226"/>
      <c r="D8" s="226" t="s">
        <v>18</v>
      </c>
      <c r="E8" s="262">
        <f>E6-E7</f>
        <v>-7.0985694081177053E-5</v>
      </c>
      <c r="F8" s="262">
        <f>F6-F7</f>
        <v>-5.1242057037987621E-3</v>
      </c>
      <c r="G8" s="262">
        <f>G6-G7</f>
        <v>1.0549721195994094E-2</v>
      </c>
      <c r="H8" s="226"/>
      <c r="I8" s="229"/>
      <c r="J8" s="226"/>
      <c r="K8" s="235"/>
      <c r="L8" s="231"/>
      <c r="M8" s="257" t="s">
        <v>19</v>
      </c>
      <c r="N8" s="263">
        <f>N6*8760*N7</f>
        <v>243090</v>
      </c>
      <c r="O8" s="258" t="s">
        <v>20</v>
      </c>
      <c r="P8" s="232"/>
      <c r="Q8" s="232"/>
      <c r="R8" s="239"/>
      <c r="S8" s="226"/>
      <c r="T8" s="240"/>
      <c r="U8" s="264"/>
      <c r="V8" s="250" t="s">
        <v>21</v>
      </c>
      <c r="W8" s="265">
        <v>4.5469999999999997E-2</v>
      </c>
      <c r="X8" s="251" t="s">
        <v>22</v>
      </c>
      <c r="Y8" s="251"/>
      <c r="Z8" s="261"/>
      <c r="AA8" s="241"/>
      <c r="AB8" s="241"/>
      <c r="AC8" s="250" t="s">
        <v>23</v>
      </c>
      <c r="AD8" s="266">
        <f>AD9*AD6</f>
        <v>686.5</v>
      </c>
      <c r="AE8" s="241"/>
      <c r="AF8" s="240"/>
    </row>
    <row r="9" spans="2:32">
      <c r="B9" s="229"/>
      <c r="C9" s="226"/>
      <c r="D9" s="226"/>
      <c r="E9" s="226"/>
      <c r="F9" s="226"/>
      <c r="G9" s="226"/>
      <c r="H9" s="226"/>
      <c r="I9" s="229"/>
      <c r="J9" s="226"/>
      <c r="K9" s="235"/>
      <c r="L9" s="231"/>
      <c r="M9" s="267" t="s">
        <v>24</v>
      </c>
      <c r="N9" s="268">
        <f>N8/12</f>
        <v>20257.5</v>
      </c>
      <c r="O9" s="255" t="s">
        <v>20</v>
      </c>
      <c r="P9" s="232"/>
      <c r="Q9" s="232"/>
      <c r="R9" s="239"/>
      <c r="S9" s="226"/>
      <c r="T9" s="240"/>
      <c r="U9" s="241"/>
      <c r="V9" s="250"/>
      <c r="W9" s="251"/>
      <c r="X9" s="251"/>
      <c r="Y9" s="251" t="s">
        <v>23</v>
      </c>
      <c r="Z9" s="266">
        <f>W7*365/12+Z7*W8</f>
        <v>244.07916666666665</v>
      </c>
      <c r="AA9" s="241"/>
      <c r="AB9" s="241"/>
      <c r="AC9" s="250" t="s">
        <v>25</v>
      </c>
      <c r="AD9" s="269">
        <v>0.13730000000000001</v>
      </c>
      <c r="AE9" s="241"/>
      <c r="AF9" s="240"/>
    </row>
    <row r="10" spans="2:32">
      <c r="B10" s="229"/>
      <c r="C10" s="229"/>
      <c r="D10" s="229"/>
      <c r="E10" s="229"/>
      <c r="F10" s="229"/>
      <c r="G10" s="229"/>
      <c r="H10" s="229"/>
      <c r="I10" s="229"/>
      <c r="J10" s="226"/>
      <c r="K10" s="235"/>
      <c r="L10" s="231"/>
      <c r="M10" s="232"/>
      <c r="N10" s="270"/>
      <c r="O10" s="232"/>
      <c r="P10" s="232"/>
      <c r="Q10" s="232"/>
      <c r="R10" s="239"/>
      <c r="S10" s="226"/>
      <c r="T10" s="240"/>
      <c r="U10" s="241"/>
      <c r="V10" s="271"/>
      <c r="W10" s="272"/>
      <c r="X10" s="272"/>
      <c r="Y10" s="272" t="s">
        <v>25</v>
      </c>
      <c r="Z10" s="273">
        <f>Z9/Z7</f>
        <v>4.8815833333333329E-2</v>
      </c>
      <c r="AA10" s="241"/>
      <c r="AB10" s="241"/>
      <c r="AC10" s="250"/>
      <c r="AD10" s="261"/>
      <c r="AE10" s="241"/>
      <c r="AF10" s="240"/>
    </row>
    <row r="11" spans="2:32">
      <c r="B11" s="226"/>
      <c r="C11" s="226"/>
      <c r="D11" s="226"/>
      <c r="E11" s="226"/>
      <c r="F11" s="226"/>
      <c r="G11" s="226"/>
      <c r="H11" s="226"/>
      <c r="I11" s="226"/>
      <c r="J11" s="226"/>
      <c r="K11" s="235"/>
      <c r="L11" s="231"/>
      <c r="M11" s="274" t="s">
        <v>26</v>
      </c>
      <c r="N11" s="237"/>
      <c r="O11" s="238"/>
      <c r="P11" s="232"/>
      <c r="Q11" s="232"/>
      <c r="R11" s="239"/>
      <c r="S11" s="226"/>
      <c r="T11" s="240"/>
      <c r="U11" s="241"/>
      <c r="V11" s="241"/>
      <c r="W11" s="241"/>
      <c r="X11" s="241"/>
      <c r="Y11" s="241"/>
      <c r="Z11" s="241"/>
      <c r="AA11" s="241"/>
      <c r="AB11" s="241"/>
      <c r="AC11" s="250"/>
      <c r="AD11" s="261"/>
      <c r="AE11" s="241"/>
      <c r="AF11" s="240"/>
    </row>
    <row r="12" spans="2:32">
      <c r="B12" s="226"/>
      <c r="C12" s="226"/>
      <c r="D12" s="226"/>
      <c r="E12" s="226"/>
      <c r="F12" s="226"/>
      <c r="G12" s="226"/>
      <c r="H12" s="226"/>
      <c r="I12" s="226"/>
      <c r="J12" s="226"/>
      <c r="K12" s="235"/>
      <c r="L12" s="231"/>
      <c r="M12" s="275" t="s">
        <v>27</v>
      </c>
      <c r="N12" s="7">
        <f>G7</f>
        <v>0.111641</v>
      </c>
      <c r="O12" s="8" t="s">
        <v>28</v>
      </c>
      <c r="P12" s="6"/>
      <c r="Q12" s="177"/>
      <c r="R12" s="239"/>
      <c r="S12" s="226"/>
      <c r="T12" s="240"/>
      <c r="U12" s="241"/>
      <c r="V12" s="241"/>
      <c r="W12" s="241"/>
      <c r="X12" s="241"/>
      <c r="Y12" s="241"/>
      <c r="Z12" s="241"/>
      <c r="AA12" s="241"/>
      <c r="AB12" s="241"/>
      <c r="AC12" s="271" t="s">
        <v>18</v>
      </c>
      <c r="AD12" s="276">
        <f>AD9-Z10</f>
        <v>8.8484166666666669E-2</v>
      </c>
      <c r="AE12" s="241"/>
      <c r="AF12" s="240"/>
    </row>
    <row r="13" spans="2:32">
      <c r="B13" s="226"/>
      <c r="C13" s="226"/>
      <c r="D13" s="226"/>
      <c r="E13" s="226"/>
      <c r="F13" s="226"/>
      <c r="G13" s="226"/>
      <c r="H13" s="226"/>
      <c r="I13" s="226"/>
      <c r="J13" s="226"/>
      <c r="K13" s="235"/>
      <c r="L13" s="231"/>
      <c r="M13" s="277" t="s">
        <v>29</v>
      </c>
      <c r="N13" s="179">
        <f>E6</f>
        <v>6.1987507507507505E-2</v>
      </c>
      <c r="O13" s="10" t="s">
        <v>30</v>
      </c>
      <c r="P13" s="232"/>
      <c r="Q13" s="231"/>
      <c r="R13" s="239"/>
      <c r="S13" s="226"/>
      <c r="T13" s="240"/>
      <c r="U13" s="241"/>
      <c r="V13" s="241"/>
      <c r="W13" s="241"/>
      <c r="X13" s="241"/>
      <c r="Y13" s="241"/>
      <c r="Z13" s="278"/>
      <c r="AA13" s="241"/>
      <c r="AB13" s="241"/>
      <c r="AC13" s="279"/>
      <c r="AD13" s="280"/>
      <c r="AE13" s="241"/>
      <c r="AF13" s="240"/>
    </row>
    <row r="14" spans="2:32">
      <c r="B14" s="226"/>
      <c r="C14" s="226"/>
      <c r="D14" s="226"/>
      <c r="E14" s="226"/>
      <c r="F14" s="226"/>
      <c r="G14" s="226"/>
      <c r="H14" s="226"/>
      <c r="I14" s="226"/>
      <c r="J14" s="226"/>
      <c r="K14" s="235"/>
      <c r="L14" s="231"/>
      <c r="M14" s="232"/>
      <c r="N14" s="281">
        <f>N12-N19</f>
        <v>4.9653492492492499E-2</v>
      </c>
      <c r="O14" s="232" t="s">
        <v>31</v>
      </c>
      <c r="P14" s="232"/>
      <c r="Q14" s="231"/>
      <c r="R14" s="239"/>
      <c r="S14" s="226"/>
      <c r="T14" s="240"/>
      <c r="U14" s="241"/>
      <c r="V14" s="282"/>
      <c r="W14" s="283"/>
      <c r="X14" s="283"/>
      <c r="Y14" s="244" t="s">
        <v>32</v>
      </c>
      <c r="Z14" s="244"/>
      <c r="AA14" s="283"/>
      <c r="AB14" s="283"/>
      <c r="AC14" s="284"/>
      <c r="AD14" s="285"/>
      <c r="AE14" s="241"/>
      <c r="AF14" s="240"/>
    </row>
    <row r="15" spans="2:32">
      <c r="B15" s="226"/>
      <c r="C15" s="226"/>
      <c r="D15" s="226"/>
      <c r="E15" s="226"/>
      <c r="F15" s="226"/>
      <c r="G15" s="226"/>
      <c r="H15" s="226"/>
      <c r="I15" s="226"/>
      <c r="J15" s="226"/>
      <c r="K15" s="235"/>
      <c r="L15" s="231"/>
      <c r="M15" s="232"/>
      <c r="N15" s="281">
        <f>N14/2</f>
        <v>2.4826746246246249E-2</v>
      </c>
      <c r="O15" s="232" t="s">
        <v>33</v>
      </c>
      <c r="P15" s="232"/>
      <c r="Q15" s="231"/>
      <c r="R15" s="239"/>
      <c r="S15" s="226"/>
      <c r="T15" s="240"/>
      <c r="U15" s="264"/>
      <c r="V15" s="250" t="s">
        <v>16</v>
      </c>
      <c r="W15" s="260">
        <v>5</v>
      </c>
      <c r="X15" s="251" t="s">
        <v>17</v>
      </c>
      <c r="Y15" s="251" t="s">
        <v>13</v>
      </c>
      <c r="Z15" s="286">
        <f>$Z$7</f>
        <v>5000</v>
      </c>
      <c r="AA15" s="251"/>
      <c r="AB15" s="251"/>
      <c r="AC15" s="287"/>
      <c r="AD15" s="288"/>
      <c r="AE15" s="241"/>
      <c r="AF15" s="240"/>
    </row>
    <row r="16" spans="2:32">
      <c r="B16" s="226"/>
      <c r="C16" s="226"/>
      <c r="D16" s="226"/>
      <c r="E16" s="226"/>
      <c r="F16" s="226"/>
      <c r="G16" s="226"/>
      <c r="H16" s="226"/>
      <c r="I16" s="226"/>
      <c r="J16" s="226"/>
      <c r="K16" s="235"/>
      <c r="L16" s="231"/>
      <c r="M16" s="232"/>
      <c r="N16" s="232"/>
      <c r="O16" s="232"/>
      <c r="P16" s="232"/>
      <c r="Q16" s="231"/>
      <c r="R16" s="239"/>
      <c r="S16" s="226"/>
      <c r="T16" s="240"/>
      <c r="U16" s="241"/>
      <c r="V16" s="250" t="s">
        <v>21</v>
      </c>
      <c r="W16" s="212">
        <v>5.448429166666667E-2</v>
      </c>
      <c r="X16" s="251" t="s">
        <v>22</v>
      </c>
      <c r="Y16" s="251"/>
      <c r="Z16" s="251"/>
      <c r="AA16" s="251"/>
      <c r="AB16" s="251"/>
      <c r="AC16" s="251"/>
      <c r="AD16" s="261"/>
      <c r="AE16" s="241"/>
      <c r="AF16" s="240"/>
    </row>
    <row r="17" spans="4:32">
      <c r="D17" s="226"/>
      <c r="E17" s="226"/>
      <c r="F17" s="226"/>
      <c r="G17" s="226"/>
      <c r="H17" s="226"/>
      <c r="I17" s="226"/>
      <c r="J17" s="226"/>
      <c r="K17" s="235"/>
      <c r="L17" s="231"/>
      <c r="M17" s="236" t="s">
        <v>34</v>
      </c>
      <c r="N17" s="289"/>
      <c r="O17" s="290" t="s">
        <v>35</v>
      </c>
      <c r="P17" s="291"/>
      <c r="Q17" s="291"/>
      <c r="R17" s="239"/>
      <c r="S17" s="226"/>
      <c r="T17" s="240"/>
      <c r="U17" s="241"/>
      <c r="V17" s="250"/>
      <c r="W17" s="251"/>
      <c r="X17" s="251"/>
      <c r="Y17" s="251" t="s">
        <v>23</v>
      </c>
      <c r="Z17" s="260">
        <f>SUM(AC17:AC19)</f>
        <v>424.50479166666673</v>
      </c>
      <c r="AA17" s="251"/>
      <c r="AB17" s="251" t="s">
        <v>16</v>
      </c>
      <c r="AC17" s="260">
        <f>W15*365/12</f>
        <v>152.08333333333334</v>
      </c>
      <c r="AD17" s="292">
        <f>AC17/$Z$17</f>
        <v>0.35826058107903175</v>
      </c>
      <c r="AE17" s="241"/>
      <c r="AF17" s="240"/>
    </row>
    <row r="18" spans="4:32">
      <c r="D18" s="226"/>
      <c r="E18" s="226"/>
      <c r="F18" s="226"/>
      <c r="G18" s="226"/>
      <c r="H18" s="226"/>
      <c r="I18" s="226"/>
      <c r="J18" s="226"/>
      <c r="K18" s="235"/>
      <c r="L18" s="231"/>
      <c r="M18" s="293" t="s">
        <v>36</v>
      </c>
      <c r="N18" s="294" t="s">
        <v>37</v>
      </c>
      <c r="O18" s="295" t="s">
        <v>38</v>
      </c>
      <c r="P18" s="291"/>
      <c r="Q18" s="291"/>
      <c r="R18" s="239"/>
      <c r="S18" s="226"/>
      <c r="T18" s="240"/>
      <c r="U18" s="241"/>
      <c r="V18" s="250"/>
      <c r="W18" s="251"/>
      <c r="X18" s="251"/>
      <c r="Y18" s="251" t="s">
        <v>25</v>
      </c>
      <c r="Z18" s="296">
        <f>Z17/Z15</f>
        <v>8.4900958333333346E-2</v>
      </c>
      <c r="AA18" s="251"/>
      <c r="AB18" s="251" t="s">
        <v>21</v>
      </c>
      <c r="AC18" s="260">
        <f>Z15*W16</f>
        <v>272.42145833333336</v>
      </c>
      <c r="AD18" s="292">
        <f>AC18/$Z$17</f>
        <v>0.6417394189209682</v>
      </c>
      <c r="AE18" s="241"/>
      <c r="AF18" s="240"/>
    </row>
    <row r="19" spans="4:32">
      <c r="D19" s="226"/>
      <c r="E19" s="226"/>
      <c r="F19" s="226"/>
      <c r="G19" s="226"/>
      <c r="H19" s="226"/>
      <c r="I19" s="226"/>
      <c r="J19" s="226"/>
      <c r="K19" s="235"/>
      <c r="L19" s="231"/>
      <c r="M19" s="297">
        <v>2019</v>
      </c>
      <c r="N19" s="180">
        <f>N13</f>
        <v>6.1987507507507505E-2</v>
      </c>
      <c r="O19" s="298" t="s">
        <v>40</v>
      </c>
      <c r="P19" s="299"/>
      <c r="Q19" s="300"/>
      <c r="R19" s="301"/>
      <c r="S19" s="226"/>
      <c r="T19" s="240"/>
      <c r="U19" s="241"/>
      <c r="V19" s="250"/>
      <c r="W19" s="251"/>
      <c r="X19" s="251"/>
      <c r="Y19" s="251"/>
      <c r="Z19" s="302">
        <f>W40-Z18</f>
        <v>-2.2812500000000013E-2</v>
      </c>
      <c r="AA19" s="251"/>
      <c r="AB19" s="251"/>
      <c r="AC19" s="260"/>
      <c r="AD19" s="292"/>
      <c r="AE19" s="241"/>
      <c r="AF19" s="240"/>
    </row>
    <row r="20" spans="4:32">
      <c r="D20" s="226"/>
      <c r="E20" s="226"/>
      <c r="F20" s="226"/>
      <c r="G20" s="226"/>
      <c r="H20" s="226"/>
      <c r="I20" s="226"/>
      <c r="J20" s="226"/>
      <c r="K20" s="235"/>
      <c r="L20" s="231"/>
      <c r="M20" s="303">
        <v>2020</v>
      </c>
      <c r="N20" s="304">
        <f>N19+$N$15</f>
        <v>8.6814253753753762E-2</v>
      </c>
      <c r="O20" s="305">
        <f>(N20-N19)/N19</f>
        <v>0.40051209097638601</v>
      </c>
      <c r="P20" s="299"/>
      <c r="Q20" s="300"/>
      <c r="R20" s="301"/>
      <c r="S20" s="226"/>
      <c r="T20" s="240"/>
      <c r="U20" s="241"/>
      <c r="V20" s="271"/>
      <c r="W20" s="272"/>
      <c r="X20" s="272"/>
      <c r="Y20" s="272"/>
      <c r="Z20" s="272"/>
      <c r="AA20" s="272"/>
      <c r="AB20" s="272" t="s">
        <v>41</v>
      </c>
      <c r="AC20" s="272"/>
      <c r="AD20" s="306">
        <f>AD19+AD17</f>
        <v>0.35826058107903175</v>
      </c>
      <c r="AE20" s="241"/>
      <c r="AF20" s="240"/>
    </row>
    <row r="21" spans="4:32">
      <c r="D21" s="226"/>
      <c r="E21" s="226"/>
      <c r="F21" s="226"/>
      <c r="G21" s="226"/>
      <c r="H21" s="226"/>
      <c r="I21" s="226"/>
      <c r="J21" s="226"/>
      <c r="K21" s="235"/>
      <c r="L21" s="231"/>
      <c r="M21" s="307">
        <v>2021</v>
      </c>
      <c r="N21" s="308">
        <f>N20+$N$15</f>
        <v>0.11164100000000002</v>
      </c>
      <c r="O21" s="309">
        <f>(N21-N20)/N20</f>
        <v>0.28597546108806782</v>
      </c>
      <c r="P21" s="299"/>
      <c r="Q21" s="300"/>
      <c r="R21" s="301"/>
      <c r="S21" s="226"/>
      <c r="T21" s="240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0"/>
    </row>
    <row r="22" spans="4:32">
      <c r="D22" s="226"/>
      <c r="E22" s="226"/>
      <c r="F22" s="226"/>
      <c r="G22" s="226"/>
      <c r="H22" s="226"/>
      <c r="I22" s="226"/>
      <c r="J22" s="226"/>
      <c r="K22" s="235"/>
      <c r="L22" s="231"/>
      <c r="M22" s="310"/>
      <c r="N22" s="281"/>
      <c r="O22" s="232"/>
      <c r="P22" s="232"/>
      <c r="Q22" s="231"/>
      <c r="R22" s="239"/>
      <c r="S22" s="226"/>
      <c r="T22" s="240"/>
      <c r="U22" s="241"/>
      <c r="V22" s="282"/>
      <c r="W22" s="283"/>
      <c r="X22" s="283"/>
      <c r="Y22" s="244" t="s">
        <v>42</v>
      </c>
      <c r="Z22" s="244"/>
      <c r="AA22" s="283"/>
      <c r="AB22" s="283"/>
      <c r="AC22" s="283"/>
      <c r="AD22" s="311"/>
      <c r="AE22" s="241"/>
      <c r="AF22" s="240"/>
    </row>
    <row r="23" spans="4:32">
      <c r="D23" s="226"/>
      <c r="E23" s="226"/>
      <c r="F23" s="226"/>
      <c r="G23" s="226"/>
      <c r="H23" s="226"/>
      <c r="I23" s="226"/>
      <c r="J23" s="226"/>
      <c r="K23" s="235"/>
      <c r="L23" s="231"/>
      <c r="M23" s="11" t="str">
        <f>"Rate beginning 4/1/"&amp;M19&amp;" Using Typical Profile - RS17"</f>
        <v>Rate beginning 4/1/2019 Using Typical Profile - RS17</v>
      </c>
      <c r="N23" s="312"/>
      <c r="O23" s="312"/>
      <c r="P23" s="313"/>
      <c r="Q23" s="314"/>
      <c r="R23" s="239"/>
      <c r="S23" s="226"/>
      <c r="T23" s="240"/>
      <c r="U23" s="264"/>
      <c r="V23" s="250" t="s">
        <v>16</v>
      </c>
      <c r="W23" s="260">
        <v>7.5</v>
      </c>
      <c r="X23" s="251" t="s">
        <v>17</v>
      </c>
      <c r="Y23" s="251" t="s">
        <v>13</v>
      </c>
      <c r="Z23" s="286">
        <f>$Z$7</f>
        <v>5000</v>
      </c>
      <c r="AA23" s="251"/>
      <c r="AB23" s="251"/>
      <c r="AC23" s="251"/>
      <c r="AD23" s="261"/>
      <c r="AE23" s="241"/>
      <c r="AF23" s="240"/>
    </row>
    <row r="24" spans="4:32">
      <c r="D24" s="226"/>
      <c r="E24" s="226"/>
      <c r="F24" s="226"/>
      <c r="G24" s="226"/>
      <c r="H24" s="226"/>
      <c r="I24" s="226"/>
      <c r="J24" s="226"/>
      <c r="K24" s="235"/>
      <c r="L24" s="231"/>
      <c r="M24" s="315" t="s">
        <v>43</v>
      </c>
      <c r="N24" s="315" t="s">
        <v>44</v>
      </c>
      <c r="O24" s="315" t="s">
        <v>6</v>
      </c>
      <c r="P24" s="315" t="s">
        <v>45</v>
      </c>
      <c r="Q24" s="291"/>
      <c r="R24" s="239"/>
      <c r="S24" s="226"/>
      <c r="T24" s="240"/>
      <c r="U24" s="241"/>
      <c r="V24" s="250" t="s">
        <v>21</v>
      </c>
      <c r="W24" s="212">
        <v>8.165166666666665E-2</v>
      </c>
      <c r="X24" s="251" t="s">
        <v>22</v>
      </c>
      <c r="Y24" s="251"/>
      <c r="Z24" s="251"/>
      <c r="AA24" s="251"/>
      <c r="AB24" s="251"/>
      <c r="AC24" s="251"/>
      <c r="AD24" s="261"/>
      <c r="AE24" s="241"/>
      <c r="AF24" s="240"/>
    </row>
    <row r="25" spans="4:32">
      <c r="D25" s="226"/>
      <c r="E25" s="226"/>
      <c r="F25" s="226"/>
      <c r="G25" s="226"/>
      <c r="H25" s="226"/>
      <c r="I25" s="226"/>
      <c r="J25" s="226"/>
      <c r="K25" s="235"/>
      <c r="L25" s="231"/>
      <c r="M25" s="316" t="s">
        <v>46</v>
      </c>
      <c r="N25" s="317">
        <f>W15</f>
        <v>5</v>
      </c>
      <c r="O25" s="318" t="s">
        <v>17</v>
      </c>
      <c r="P25" s="319">
        <f>N25*365/12</f>
        <v>152.08333333333334</v>
      </c>
      <c r="Q25" s="320"/>
      <c r="R25" s="239"/>
      <c r="S25" s="226"/>
      <c r="T25" s="240"/>
      <c r="U25" s="241"/>
      <c r="V25" s="250"/>
      <c r="W25" s="251"/>
      <c r="X25" s="251"/>
      <c r="Y25" s="251" t="s">
        <v>23</v>
      </c>
      <c r="Z25" s="260">
        <f>SUM(AC25:AC27)</f>
        <v>636.38333333333321</v>
      </c>
      <c r="AA25" s="251"/>
      <c r="AB25" s="251" t="s">
        <v>16</v>
      </c>
      <c r="AC25" s="260">
        <f>W23*365/12</f>
        <v>228.125</v>
      </c>
      <c r="AD25" s="292">
        <f>AC25/$Z$25</f>
        <v>0.35847104732472573</v>
      </c>
      <c r="AE25" s="241"/>
      <c r="AF25" s="240"/>
    </row>
    <row r="26" spans="4:32">
      <c r="D26" s="226"/>
      <c r="E26" s="226"/>
      <c r="F26" s="226" t="s">
        <v>21</v>
      </c>
      <c r="G26" s="801">
        <v>5.455060673348907E-2</v>
      </c>
      <c r="H26" s="226"/>
      <c r="I26" s="226"/>
      <c r="J26" s="226"/>
      <c r="K26" s="235"/>
      <c r="L26" s="231"/>
      <c r="M26" s="316" t="s">
        <v>21</v>
      </c>
      <c r="N26" s="321">
        <f>G26</f>
        <v>5.455060673348907E-2</v>
      </c>
      <c r="O26" s="322" t="s">
        <v>22</v>
      </c>
      <c r="P26" s="323">
        <f>N26*$N$9</f>
        <v>1105.0589159036549</v>
      </c>
      <c r="Q26" s="320"/>
      <c r="R26" s="239"/>
      <c r="S26" s="226"/>
      <c r="T26" s="240"/>
      <c r="U26" s="241"/>
      <c r="V26" s="250"/>
      <c r="W26" s="251"/>
      <c r="X26" s="251"/>
      <c r="Y26" s="251" t="s">
        <v>25</v>
      </c>
      <c r="Z26" s="296">
        <f>Z25/Z23</f>
        <v>0.12727666666666665</v>
      </c>
      <c r="AA26" s="251"/>
      <c r="AB26" s="251" t="s">
        <v>21</v>
      </c>
      <c r="AC26" s="260">
        <f>Z23*W24</f>
        <v>408.25833333333327</v>
      </c>
      <c r="AD26" s="292">
        <f>AC26/$Z$25</f>
        <v>0.64152895267527432</v>
      </c>
      <c r="AE26" s="241"/>
      <c r="AF26" s="240"/>
    </row>
    <row r="27" spans="4:32">
      <c r="D27" s="226"/>
      <c r="E27" s="226"/>
      <c r="F27" s="226" t="s">
        <v>18</v>
      </c>
      <c r="G27" s="262">
        <f>ROUND((E7-P29)*1,6)*1000</f>
        <v>0</v>
      </c>
      <c r="H27" s="226"/>
      <c r="I27" s="226"/>
      <c r="J27" s="226"/>
      <c r="K27" s="235"/>
      <c r="L27" s="231"/>
      <c r="M27" s="324" t="s">
        <v>10</v>
      </c>
      <c r="N27" s="325">
        <f>AI27</f>
        <v>0</v>
      </c>
      <c r="O27" s="326" t="s">
        <v>48</v>
      </c>
      <c r="P27" s="327">
        <f>N27*$AF$6</f>
        <v>0</v>
      </c>
      <c r="Q27" s="320"/>
      <c r="R27" s="239"/>
      <c r="S27" s="226"/>
      <c r="T27" s="240"/>
      <c r="U27" s="241"/>
      <c r="V27" s="250"/>
      <c r="W27" s="251"/>
      <c r="X27" s="251"/>
      <c r="Y27" s="251"/>
      <c r="Z27" s="302">
        <f>W41-Z26</f>
        <v>-3.4218749999999992E-2</v>
      </c>
      <c r="AA27" s="251"/>
      <c r="AB27" s="251"/>
      <c r="AC27" s="260"/>
      <c r="AD27" s="292"/>
      <c r="AE27" s="241"/>
      <c r="AF27" s="240"/>
    </row>
    <row r="28" spans="4:32">
      <c r="D28" s="226"/>
      <c r="E28" s="226"/>
      <c r="F28" s="226"/>
      <c r="G28" s="226"/>
      <c r="H28" s="226"/>
      <c r="I28" s="226"/>
      <c r="J28" s="226"/>
      <c r="K28" s="235"/>
      <c r="L28" s="231"/>
      <c r="M28" s="232"/>
      <c r="N28" s="232"/>
      <c r="O28" s="328" t="s">
        <v>49</v>
      </c>
      <c r="P28" s="270">
        <f>SUM(P25:P27)</f>
        <v>1257.1422492369882</v>
      </c>
      <c r="Q28" s="320"/>
      <c r="R28" s="239"/>
      <c r="S28" s="226"/>
      <c r="T28" s="240"/>
      <c r="U28" s="241"/>
      <c r="V28" s="271"/>
      <c r="W28" s="272"/>
      <c r="X28" s="272"/>
      <c r="Y28" s="272"/>
      <c r="Z28" s="272"/>
      <c r="AA28" s="272"/>
      <c r="AB28" s="272" t="s">
        <v>41</v>
      </c>
      <c r="AC28" s="272"/>
      <c r="AD28" s="306">
        <f>AD27+AD25</f>
        <v>0.35847104732472573</v>
      </c>
      <c r="AE28" s="241"/>
      <c r="AF28" s="240"/>
    </row>
    <row r="29" spans="4:32">
      <c r="D29" s="226"/>
      <c r="E29" s="226"/>
      <c r="F29" s="226"/>
      <c r="G29" s="226"/>
      <c r="H29" s="226"/>
      <c r="I29" s="226"/>
      <c r="J29" s="226"/>
      <c r="K29" s="235"/>
      <c r="L29" s="231"/>
      <c r="M29" s="232"/>
      <c r="N29" s="232"/>
      <c r="O29" s="328" t="s">
        <v>50</v>
      </c>
      <c r="P29" s="329">
        <f>P28/N9</f>
        <v>6.2058114240996574E-2</v>
      </c>
      <c r="Q29" s="330"/>
      <c r="R29" s="239"/>
      <c r="S29" s="226"/>
      <c r="T29" s="240"/>
      <c r="U29" s="241"/>
      <c r="V29" s="241"/>
      <c r="W29" s="241"/>
      <c r="X29" s="241"/>
      <c r="Y29" s="241"/>
      <c r="Z29" s="278"/>
      <c r="AA29" s="241"/>
      <c r="AB29" s="241"/>
      <c r="AC29" s="241"/>
      <c r="AD29" s="241"/>
      <c r="AE29" s="241"/>
      <c r="AF29" s="240"/>
    </row>
    <row r="30" spans="4:32">
      <c r="D30" s="262"/>
      <c r="E30" s="226"/>
      <c r="F30" s="226"/>
      <c r="G30" s="226"/>
      <c r="H30" s="226"/>
      <c r="I30" s="226"/>
      <c r="J30" s="226"/>
      <c r="K30" s="235"/>
      <c r="L30" s="231"/>
      <c r="M30" s="232"/>
      <c r="N30" s="232"/>
      <c r="O30" s="232"/>
      <c r="P30" s="232"/>
      <c r="Q30" s="231"/>
      <c r="R30" s="239"/>
      <c r="S30" s="226"/>
      <c r="T30" s="240"/>
      <c r="U30" s="241"/>
      <c r="V30" s="282"/>
      <c r="W30" s="283"/>
      <c r="X30" s="283"/>
      <c r="Y30" s="244" t="s">
        <v>51</v>
      </c>
      <c r="Z30" s="244"/>
      <c r="AA30" s="283"/>
      <c r="AB30" s="283"/>
      <c r="AC30" s="283"/>
      <c r="AD30" s="311"/>
      <c r="AE30" s="241"/>
      <c r="AF30" s="240"/>
    </row>
    <row r="31" spans="4:32">
      <c r="D31" s="226"/>
      <c r="E31" s="226"/>
      <c r="F31" s="226"/>
      <c r="G31" s="226"/>
      <c r="H31" s="226"/>
      <c r="I31" s="226"/>
      <c r="J31" s="226"/>
      <c r="K31" s="235"/>
      <c r="L31" s="231"/>
      <c r="M31" s="13" t="str">
        <f>"Rate beginning 4/1/"&amp;M20&amp;" Using Typical Profile - RS17"</f>
        <v>Rate beginning 4/1/2020 Using Typical Profile - RS17</v>
      </c>
      <c r="N31" s="331"/>
      <c r="O31" s="331"/>
      <c r="P31" s="332"/>
      <c r="Q31" s="314"/>
      <c r="R31" s="239"/>
      <c r="S31" s="226"/>
      <c r="T31" s="240"/>
      <c r="U31" s="264"/>
      <c r="V31" s="250" t="s">
        <v>16</v>
      </c>
      <c r="W31" s="260">
        <v>10</v>
      </c>
      <c r="X31" s="251" t="s">
        <v>17</v>
      </c>
      <c r="Y31" s="251" t="s">
        <v>13</v>
      </c>
      <c r="Z31" s="286">
        <f>$Z$7</f>
        <v>5000</v>
      </c>
      <c r="AA31" s="251"/>
      <c r="AB31" s="251"/>
      <c r="AC31" s="251"/>
      <c r="AD31" s="261"/>
      <c r="AE31" s="241"/>
      <c r="AF31" s="240"/>
    </row>
    <row r="32" spans="4:32">
      <c r="D32" s="226"/>
      <c r="E32" s="226"/>
      <c r="F32" s="226"/>
      <c r="G32" s="226"/>
      <c r="H32" s="226"/>
      <c r="I32" s="226"/>
      <c r="J32" s="226"/>
      <c r="K32" s="235"/>
      <c r="L32" s="231"/>
      <c r="M32" s="333" t="s">
        <v>43</v>
      </c>
      <c r="N32" s="333" t="s">
        <v>44</v>
      </c>
      <c r="O32" s="333" t="s">
        <v>6</v>
      </c>
      <c r="P32" s="333" t="s">
        <v>45</v>
      </c>
      <c r="Q32" s="291"/>
      <c r="R32" s="239"/>
      <c r="S32" s="226"/>
      <c r="T32" s="240"/>
      <c r="U32" s="241"/>
      <c r="V32" s="250" t="s">
        <v>21</v>
      </c>
      <c r="W32" s="212">
        <v>0.1220916666666667</v>
      </c>
      <c r="X32" s="251" t="s">
        <v>22</v>
      </c>
      <c r="Y32" s="251"/>
      <c r="Z32" s="251"/>
      <c r="AA32" s="251"/>
      <c r="AB32" s="251"/>
      <c r="AC32" s="251"/>
      <c r="AD32" s="261"/>
      <c r="AE32" s="241"/>
      <c r="AF32" s="240"/>
    </row>
    <row r="33" spans="6:32">
      <c r="F33" s="226"/>
      <c r="G33" s="226"/>
      <c r="H33" s="226"/>
      <c r="I33" s="226"/>
      <c r="J33" s="226"/>
      <c r="K33" s="235"/>
      <c r="L33" s="231"/>
      <c r="M33" s="334" t="s">
        <v>46</v>
      </c>
      <c r="N33" s="335">
        <f>W23</f>
        <v>7.5</v>
      </c>
      <c r="O33" s="336" t="s">
        <v>17</v>
      </c>
      <c r="P33" s="335">
        <f>N33*365/12</f>
        <v>228.125</v>
      </c>
      <c r="Q33" s="320"/>
      <c r="R33" s="239"/>
      <c r="S33" s="226"/>
      <c r="T33" s="240"/>
      <c r="U33" s="241"/>
      <c r="V33" s="250"/>
      <c r="W33" s="251"/>
      <c r="X33" s="251"/>
      <c r="Y33" s="251" t="s">
        <v>23</v>
      </c>
      <c r="Z33" s="260">
        <f>SUM(AC33:AC35)</f>
        <v>914.62500000000023</v>
      </c>
      <c r="AA33" s="251"/>
      <c r="AB33" s="251" t="s">
        <v>16</v>
      </c>
      <c r="AC33" s="260">
        <f>W31*365/12</f>
        <v>304.16666666666669</v>
      </c>
      <c r="AD33" s="292">
        <f>AC33/$Z$33</f>
        <v>0.33255888114436694</v>
      </c>
      <c r="AE33" s="241"/>
      <c r="AF33" s="240"/>
    </row>
    <row r="34" spans="6:32">
      <c r="F34" s="226" t="s">
        <v>21</v>
      </c>
      <c r="G34" s="181">
        <v>7.5588485339533079E-2</v>
      </c>
      <c r="H34" s="226"/>
      <c r="I34" s="226"/>
      <c r="J34" s="226"/>
      <c r="K34" s="235"/>
      <c r="L34" s="231"/>
      <c r="M34" s="334" t="s">
        <v>21</v>
      </c>
      <c r="N34" s="337">
        <f>G34</f>
        <v>7.5588485339533079E-2</v>
      </c>
      <c r="O34" s="338" t="s">
        <v>22</v>
      </c>
      <c r="P34" s="339">
        <f>N34*$N$9</f>
        <v>1531.2337417655913</v>
      </c>
      <c r="Q34" s="320"/>
      <c r="R34" s="239"/>
      <c r="S34" s="226"/>
      <c r="T34" s="240"/>
      <c r="U34" s="241"/>
      <c r="V34" s="250"/>
      <c r="W34" s="251"/>
      <c r="X34" s="251"/>
      <c r="Y34" s="251" t="s">
        <v>25</v>
      </c>
      <c r="Z34" s="296">
        <f>Z33/Z31</f>
        <v>0.18292500000000003</v>
      </c>
      <c r="AA34" s="251"/>
      <c r="AB34" s="251" t="s">
        <v>21</v>
      </c>
      <c r="AC34" s="260">
        <f>Z31*W32</f>
        <v>610.45833333333348</v>
      </c>
      <c r="AD34" s="292">
        <f>AC34/$Z$33</f>
        <v>0.66744111885563295</v>
      </c>
      <c r="AE34" s="241"/>
      <c r="AF34" s="240"/>
    </row>
    <row r="35" spans="6:32">
      <c r="F35" s="226" t="s">
        <v>18</v>
      </c>
      <c r="G35" s="262">
        <f>(F7-P37)*1000</f>
        <v>0</v>
      </c>
      <c r="H35" s="226"/>
      <c r="I35" s="226"/>
      <c r="J35" s="226"/>
      <c r="K35" s="235"/>
      <c r="L35" s="231"/>
      <c r="M35" s="340" t="s">
        <v>10</v>
      </c>
      <c r="N35" s="341">
        <f>D16</f>
        <v>0</v>
      </c>
      <c r="O35" s="342" t="s">
        <v>48</v>
      </c>
      <c r="P35" s="341">
        <f>N35*$AF$6</f>
        <v>0</v>
      </c>
      <c r="Q35" s="320"/>
      <c r="R35" s="239"/>
      <c r="S35" s="226"/>
      <c r="T35" s="240"/>
      <c r="U35" s="241"/>
      <c r="V35" s="250"/>
      <c r="W35" s="251"/>
      <c r="X35" s="251"/>
      <c r="Y35" s="251"/>
      <c r="Z35" s="302">
        <f>AD9-Z34</f>
        <v>-4.5625000000000027E-2</v>
      </c>
      <c r="AA35" s="251"/>
      <c r="AB35" s="251"/>
      <c r="AC35" s="260"/>
      <c r="AD35" s="292"/>
      <c r="AE35" s="241"/>
      <c r="AF35" s="240"/>
    </row>
    <row r="36" spans="6:32">
      <c r="F36" s="226"/>
      <c r="G36" s="226"/>
      <c r="H36" s="226"/>
      <c r="I36" s="226"/>
      <c r="J36" s="226"/>
      <c r="K36" s="235"/>
      <c r="L36" s="231"/>
      <c r="M36" s="232"/>
      <c r="N36" s="232"/>
      <c r="O36" s="328" t="s">
        <v>49</v>
      </c>
      <c r="P36" s="270">
        <f>SUM(P33:P35)</f>
        <v>1759.3587417655913</v>
      </c>
      <c r="Q36" s="320"/>
      <c r="R36" s="239"/>
      <c r="S36" s="226"/>
      <c r="T36" s="240"/>
      <c r="U36" s="241"/>
      <c r="V36" s="271"/>
      <c r="W36" s="272"/>
      <c r="X36" s="272"/>
      <c r="Y36" s="272"/>
      <c r="Z36" s="272"/>
      <c r="AA36" s="272"/>
      <c r="AB36" s="272" t="s">
        <v>41</v>
      </c>
      <c r="AC36" s="272"/>
      <c r="AD36" s="306">
        <f>AD35+AD33</f>
        <v>0.33255888114436694</v>
      </c>
      <c r="AE36" s="241"/>
      <c r="AF36" s="240"/>
    </row>
    <row r="37" spans="6:32">
      <c r="F37" s="226"/>
      <c r="G37" s="226"/>
      <c r="H37" s="226"/>
      <c r="I37" s="226"/>
      <c r="J37" s="226"/>
      <c r="K37" s="235"/>
      <c r="L37" s="231"/>
      <c r="M37" s="232"/>
      <c r="N37" s="232"/>
      <c r="O37" s="328" t="s">
        <v>50</v>
      </c>
      <c r="P37" s="329">
        <f>P36/N9</f>
        <v>8.6849746600794336E-2</v>
      </c>
      <c r="Q37" s="330"/>
      <c r="R37" s="239"/>
      <c r="S37" s="226"/>
      <c r="T37" s="240"/>
      <c r="U37" s="241"/>
      <c r="V37" s="241"/>
      <c r="W37" s="241"/>
      <c r="X37" s="241"/>
      <c r="Y37" s="241"/>
      <c r="Z37" s="241"/>
      <c r="AA37" s="241"/>
      <c r="AB37" s="241"/>
      <c r="AC37" s="241"/>
      <c r="AD37" s="241"/>
      <c r="AE37" s="241"/>
      <c r="AF37" s="240"/>
    </row>
    <row r="38" spans="6:32">
      <c r="F38" s="226"/>
      <c r="G38" s="226"/>
      <c r="H38" s="226"/>
      <c r="I38" s="226"/>
      <c r="J38" s="226"/>
      <c r="K38" s="235"/>
      <c r="L38" s="231"/>
      <c r="M38" s="232"/>
      <c r="N38" s="232"/>
      <c r="O38" s="232"/>
      <c r="P38" s="232"/>
      <c r="Q38" s="231"/>
      <c r="R38" s="239"/>
      <c r="S38" s="226"/>
      <c r="T38" s="240"/>
      <c r="U38" s="241"/>
      <c r="V38" s="243" t="s">
        <v>52</v>
      </c>
      <c r="W38" s="244"/>
      <c r="X38" s="244"/>
      <c r="Y38" s="245"/>
      <c r="Z38" s="241"/>
      <c r="AA38" s="241"/>
      <c r="AB38" s="241"/>
      <c r="AC38" s="241"/>
      <c r="AD38" s="241"/>
      <c r="AE38" s="241"/>
      <c r="AF38" s="240"/>
    </row>
    <row r="39" spans="6:32">
      <c r="F39" s="226"/>
      <c r="G39" s="226"/>
      <c r="H39" s="226"/>
      <c r="I39" s="226"/>
      <c r="J39" s="226"/>
      <c r="K39" s="235"/>
      <c r="L39" s="231"/>
      <c r="M39" s="12" t="str">
        <f>"Rate beginning 4/1/"&amp;M21&amp;" Using Typical Profile - RS17"</f>
        <v>Rate beginning 4/1/2021 Using Typical Profile - RS17</v>
      </c>
      <c r="N39" s="343"/>
      <c r="O39" s="343"/>
      <c r="P39" s="344"/>
      <c r="Q39" s="314"/>
      <c r="R39" s="239"/>
      <c r="S39" s="226"/>
      <c r="T39" s="240"/>
      <c r="U39" s="241"/>
      <c r="V39" s="243" t="s">
        <v>34</v>
      </c>
      <c r="W39" s="345"/>
      <c r="X39" s="244"/>
      <c r="Y39" s="245"/>
      <c r="Z39" s="241"/>
      <c r="AA39" s="241"/>
      <c r="AB39" s="241"/>
      <c r="AC39" s="241"/>
      <c r="AD39" s="241"/>
      <c r="AE39" s="241"/>
      <c r="AF39" s="240"/>
    </row>
    <row r="40" spans="6:32">
      <c r="F40" s="226"/>
      <c r="G40" s="226"/>
      <c r="H40" s="226"/>
      <c r="I40" s="226"/>
      <c r="J40" s="226"/>
      <c r="K40" s="235"/>
      <c r="L40" s="231"/>
      <c r="M40" s="346" t="s">
        <v>43</v>
      </c>
      <c r="N40" s="346" t="s">
        <v>44</v>
      </c>
      <c r="O40" s="346" t="s">
        <v>6</v>
      </c>
      <c r="P40" s="346" t="s">
        <v>45</v>
      </c>
      <c r="Q40" s="291"/>
      <c r="R40" s="239"/>
      <c r="S40" s="226"/>
      <c r="T40" s="240"/>
      <c r="U40" s="241"/>
      <c r="V40" s="347" t="s">
        <v>53</v>
      </c>
      <c r="W40" s="348">
        <f>Z10+Y40</f>
        <v>6.2088458333333332E-2</v>
      </c>
      <c r="X40" s="349">
        <v>0.15</v>
      </c>
      <c r="Y40" s="350">
        <f>X40*$AD$12</f>
        <v>1.3272625E-2</v>
      </c>
      <c r="Z40" s="241"/>
      <c r="AA40" s="241"/>
      <c r="AB40" s="241"/>
      <c r="AC40" s="241"/>
      <c r="AD40" s="241"/>
      <c r="AE40" s="241"/>
      <c r="AF40" s="240"/>
    </row>
    <row r="41" spans="6:32">
      <c r="F41" s="226"/>
      <c r="G41" s="226"/>
      <c r="H41" s="226"/>
      <c r="I41" s="226"/>
      <c r="J41" s="226"/>
      <c r="K41" s="235"/>
      <c r="L41" s="231"/>
      <c r="M41" s="351" t="s">
        <v>46</v>
      </c>
      <c r="N41" s="352">
        <f>W31</f>
        <v>10</v>
      </c>
      <c r="O41" s="353" t="s">
        <v>17</v>
      </c>
      <c r="P41" s="352">
        <f>N41*365/12</f>
        <v>304.16666666666669</v>
      </c>
      <c r="Q41" s="320"/>
      <c r="R41" s="239"/>
      <c r="S41" s="226"/>
      <c r="T41" s="240"/>
      <c r="U41" s="241"/>
      <c r="V41" s="354" t="s">
        <v>54</v>
      </c>
      <c r="W41" s="355">
        <f>W40+Y41</f>
        <v>9.3057916666666657E-2</v>
      </c>
      <c r="X41" s="356">
        <v>0.35</v>
      </c>
      <c r="Y41" s="357">
        <f>X41*$AD$12</f>
        <v>3.0969458333333331E-2</v>
      </c>
      <c r="Z41" s="241"/>
      <c r="AA41" s="241"/>
      <c r="AB41" s="241"/>
      <c r="AC41" s="241"/>
      <c r="AD41" s="241"/>
      <c r="AE41" s="241"/>
      <c r="AF41" s="240"/>
    </row>
    <row r="42" spans="6:32">
      <c r="F42" s="226" t="s">
        <v>21</v>
      </c>
      <c r="G42" s="181">
        <v>9.6625984984984994E-2</v>
      </c>
      <c r="H42" s="226"/>
      <c r="I42" s="226"/>
      <c r="J42" s="226"/>
      <c r="K42" s="235"/>
      <c r="L42" s="231"/>
      <c r="M42" s="351" t="s">
        <v>21</v>
      </c>
      <c r="N42" s="358">
        <f>G42</f>
        <v>9.6625984984984994E-2</v>
      </c>
      <c r="O42" s="359" t="s">
        <v>22</v>
      </c>
      <c r="P42" s="360">
        <f>N42*$N$9</f>
        <v>1957.4008908333335</v>
      </c>
      <c r="Q42" s="320"/>
      <c r="R42" s="239"/>
      <c r="S42" s="226"/>
      <c r="T42" s="240"/>
      <c r="U42" s="241"/>
      <c r="V42" s="361" t="s">
        <v>55</v>
      </c>
      <c r="W42" s="362">
        <f>W41+Y42</f>
        <v>0.13729999999999998</v>
      </c>
      <c r="X42" s="363">
        <v>0.5</v>
      </c>
      <c r="Y42" s="364">
        <f>X42*$AD$12</f>
        <v>4.4242083333333335E-2</v>
      </c>
      <c r="Z42" s="241"/>
      <c r="AA42" s="241"/>
      <c r="AB42" s="241"/>
      <c r="AC42" s="241"/>
      <c r="AD42" s="241"/>
      <c r="AE42" s="241"/>
      <c r="AF42" s="240"/>
    </row>
    <row r="43" spans="6:32">
      <c r="F43" s="226" t="s">
        <v>18</v>
      </c>
      <c r="G43" s="262">
        <f>(G7-P45)*1000</f>
        <v>0</v>
      </c>
      <c r="H43" s="226"/>
      <c r="I43" s="226"/>
      <c r="J43" s="226"/>
      <c r="K43" s="235"/>
      <c r="L43" s="231"/>
      <c r="M43" s="365" t="s">
        <v>10</v>
      </c>
      <c r="N43" s="366">
        <f>D24</f>
        <v>0</v>
      </c>
      <c r="O43" s="367" t="s">
        <v>48</v>
      </c>
      <c r="P43" s="366">
        <f>N43*$AF$6</f>
        <v>0</v>
      </c>
      <c r="Q43" s="320"/>
      <c r="R43" s="239"/>
      <c r="S43" s="226"/>
      <c r="T43" s="240"/>
      <c r="U43" s="241"/>
      <c r="V43" s="241"/>
      <c r="W43" s="241"/>
      <c r="X43" s="241"/>
      <c r="Y43" s="241"/>
      <c r="Z43" s="241"/>
      <c r="AA43" s="241"/>
      <c r="AB43" s="241"/>
      <c r="AC43" s="241"/>
      <c r="AD43" s="241"/>
      <c r="AE43" s="241"/>
      <c r="AF43" s="240"/>
    </row>
    <row r="44" spans="6:32">
      <c r="F44" s="226"/>
      <c r="G44" s="226"/>
      <c r="H44" s="226"/>
      <c r="I44" s="226"/>
      <c r="J44" s="226"/>
      <c r="K44" s="235"/>
      <c r="L44" s="231"/>
      <c r="M44" s="232"/>
      <c r="N44" s="232"/>
      <c r="O44" s="328" t="s">
        <v>49</v>
      </c>
      <c r="P44" s="270">
        <f>SUM(P41:P43)</f>
        <v>2261.5675575</v>
      </c>
      <c r="Q44" s="320"/>
      <c r="R44" s="239"/>
      <c r="S44" s="226"/>
      <c r="T44" s="240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40"/>
    </row>
    <row r="45" spans="6:32">
      <c r="F45" s="226"/>
      <c r="G45" s="226"/>
      <c r="H45" s="226"/>
      <c r="I45" s="226"/>
      <c r="J45" s="226"/>
      <c r="K45" s="235"/>
      <c r="L45" s="231"/>
      <c r="M45" s="232"/>
      <c r="N45" s="232"/>
      <c r="O45" s="328" t="s">
        <v>50</v>
      </c>
      <c r="P45" s="329">
        <f>P44/N9</f>
        <v>0.111641</v>
      </c>
      <c r="Q45" s="329"/>
      <c r="R45" s="239"/>
      <c r="S45" s="226"/>
      <c r="T45" s="226"/>
      <c r="U45" s="226"/>
      <c r="V45" s="226"/>
      <c r="W45" s="226"/>
      <c r="X45" s="226"/>
      <c r="Y45" s="226"/>
      <c r="Z45" s="226"/>
      <c r="AA45" s="226"/>
      <c r="AB45" s="226"/>
      <c r="AC45" s="226"/>
      <c r="AD45" s="226"/>
      <c r="AE45" s="226"/>
      <c r="AF45" s="226"/>
    </row>
    <row r="46" spans="6:32">
      <c r="F46" s="226"/>
      <c r="G46" s="226"/>
      <c r="H46" s="226"/>
      <c r="I46" s="226"/>
      <c r="J46" s="226"/>
      <c r="K46" s="235"/>
      <c r="L46" s="226"/>
      <c r="M46" s="226"/>
      <c r="N46" s="226"/>
      <c r="O46" s="226"/>
      <c r="P46" s="226"/>
      <c r="Q46" s="226"/>
      <c r="R46" s="239"/>
      <c r="S46" s="226"/>
      <c r="T46" s="226"/>
      <c r="U46" s="226"/>
      <c r="V46" s="226"/>
      <c r="W46" s="226"/>
      <c r="X46" s="226"/>
      <c r="Y46" s="226"/>
      <c r="Z46" s="226"/>
      <c r="AA46" s="226"/>
      <c r="AB46" s="226"/>
      <c r="AC46" s="226"/>
      <c r="AD46" s="226"/>
      <c r="AE46" s="226"/>
      <c r="AF46" s="226"/>
    </row>
    <row r="47" spans="6:32" ht="15.75" thickBot="1">
      <c r="F47" s="226"/>
      <c r="G47" s="226"/>
      <c r="H47" s="226"/>
      <c r="I47" s="226"/>
      <c r="J47" s="226"/>
      <c r="K47" s="368"/>
      <c r="L47" s="369"/>
      <c r="M47" s="369"/>
      <c r="N47" s="369"/>
      <c r="O47" s="369"/>
      <c r="P47" s="369"/>
      <c r="Q47" s="369"/>
      <c r="R47" s="370"/>
      <c r="S47" s="226"/>
      <c r="T47" s="226"/>
      <c r="U47" s="226"/>
      <c r="V47" s="226"/>
      <c r="W47" s="226"/>
      <c r="X47" s="226"/>
      <c r="Y47" s="226"/>
      <c r="Z47" s="226"/>
      <c r="AA47" s="226"/>
      <c r="AB47" s="226"/>
      <c r="AC47" s="226"/>
      <c r="AD47" s="226"/>
      <c r="AE47" s="226"/>
      <c r="AF47" s="226"/>
    </row>
    <row r="48" spans="6:32" ht="15.75" thickTop="1">
      <c r="F48" s="226"/>
      <c r="G48" s="226"/>
      <c r="H48" s="226"/>
      <c r="I48" s="226"/>
      <c r="J48" s="226"/>
      <c r="K48" s="226"/>
      <c r="L48" s="226"/>
      <c r="M48" s="226" t="s">
        <v>56</v>
      </c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26"/>
      <c r="Z48" s="226"/>
      <c r="AA48" s="226"/>
      <c r="AB48" s="226"/>
      <c r="AC48" s="226"/>
      <c r="AD48" s="226"/>
      <c r="AE48" s="226"/>
      <c r="AF48" s="226"/>
    </row>
    <row r="49" spans="13:13">
      <c r="M49" s="226" t="s">
        <v>57</v>
      </c>
    </row>
  </sheetData>
  <mergeCells count="1">
    <mergeCell ref="AC5:AD5"/>
  </mergeCell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">
    <tabColor rgb="FF002D72"/>
  </sheetPr>
  <dimension ref="A2:P22"/>
  <sheetViews>
    <sheetView workbookViewId="0"/>
  </sheetViews>
  <sheetFormatPr defaultColWidth="10.375" defaultRowHeight="15"/>
  <cols>
    <col min="1" max="3" width="3.625" style="66" customWidth="1"/>
    <col min="4" max="4" width="26.375" style="66" bestFit="1" customWidth="1"/>
    <col min="5" max="6" width="13.5" style="66" bestFit="1" customWidth="1"/>
    <col min="7" max="7" width="13" style="66" bestFit="1" customWidth="1"/>
    <col min="8" max="11" width="13.5" style="66" bestFit="1" customWidth="1"/>
    <col min="12" max="12" width="13.125" style="66" bestFit="1" customWidth="1"/>
    <col min="13" max="13" width="13.125" style="66" customWidth="1"/>
    <col min="14" max="16" width="3.625" style="66" customWidth="1"/>
    <col min="17" max="257" width="10.375" style="4"/>
    <col min="258" max="258" width="5.125" style="4" customWidth="1"/>
    <col min="259" max="259" width="7.25" style="4" customWidth="1"/>
    <col min="260" max="260" width="32.625" style="4" customWidth="1"/>
    <col min="261" max="261" width="15.625" style="4" customWidth="1"/>
    <col min="262" max="262" width="3.875" style="4" customWidth="1"/>
    <col min="263" max="263" width="10" style="4" customWidth="1"/>
    <col min="264" max="264" width="6.875" style="4" customWidth="1"/>
    <col min="265" max="513" width="10.375" style="4"/>
    <col min="514" max="514" width="5.125" style="4" customWidth="1"/>
    <col min="515" max="515" width="7.25" style="4" customWidth="1"/>
    <col min="516" max="516" width="32.625" style="4" customWidth="1"/>
    <col min="517" max="517" width="15.625" style="4" customWidth="1"/>
    <col min="518" max="518" width="3.875" style="4" customWidth="1"/>
    <col min="519" max="519" width="10" style="4" customWidth="1"/>
    <col min="520" max="520" width="6.875" style="4" customWidth="1"/>
    <col min="521" max="769" width="10.375" style="4"/>
    <col min="770" max="770" width="5.125" style="4" customWidth="1"/>
    <col min="771" max="771" width="7.25" style="4" customWidth="1"/>
    <col min="772" max="772" width="32.625" style="4" customWidth="1"/>
    <col min="773" max="773" width="15.625" style="4" customWidth="1"/>
    <col min="774" max="774" width="3.875" style="4" customWidth="1"/>
    <col min="775" max="775" width="10" style="4" customWidth="1"/>
    <col min="776" max="776" width="6.875" style="4" customWidth="1"/>
    <col min="777" max="1025" width="10.375" style="4"/>
    <col min="1026" max="1026" width="5.125" style="4" customWidth="1"/>
    <col min="1027" max="1027" width="7.25" style="4" customWidth="1"/>
    <col min="1028" max="1028" width="32.625" style="4" customWidth="1"/>
    <col min="1029" max="1029" width="15.625" style="4" customWidth="1"/>
    <col min="1030" max="1030" width="3.875" style="4" customWidth="1"/>
    <col min="1031" max="1031" width="10" style="4" customWidth="1"/>
    <col min="1032" max="1032" width="6.875" style="4" customWidth="1"/>
    <col min="1033" max="1281" width="10.375" style="4"/>
    <col min="1282" max="1282" width="5.125" style="4" customWidth="1"/>
    <col min="1283" max="1283" width="7.25" style="4" customWidth="1"/>
    <col min="1284" max="1284" width="32.625" style="4" customWidth="1"/>
    <col min="1285" max="1285" width="15.625" style="4" customWidth="1"/>
    <col min="1286" max="1286" width="3.875" style="4" customWidth="1"/>
    <col min="1287" max="1287" width="10" style="4" customWidth="1"/>
    <col min="1288" max="1288" width="6.875" style="4" customWidth="1"/>
    <col min="1289" max="1537" width="10.375" style="4"/>
    <col min="1538" max="1538" width="5.125" style="4" customWidth="1"/>
    <col min="1539" max="1539" width="7.25" style="4" customWidth="1"/>
    <col min="1540" max="1540" width="32.625" style="4" customWidth="1"/>
    <col min="1541" max="1541" width="15.625" style="4" customWidth="1"/>
    <col min="1542" max="1542" width="3.875" style="4" customWidth="1"/>
    <col min="1543" max="1543" width="10" style="4" customWidth="1"/>
    <col min="1544" max="1544" width="6.875" style="4" customWidth="1"/>
    <col min="1545" max="1793" width="10.375" style="4"/>
    <col min="1794" max="1794" width="5.125" style="4" customWidth="1"/>
    <col min="1795" max="1795" width="7.25" style="4" customWidth="1"/>
    <col min="1796" max="1796" width="32.625" style="4" customWidth="1"/>
    <col min="1797" max="1797" width="15.625" style="4" customWidth="1"/>
    <col min="1798" max="1798" width="3.875" style="4" customWidth="1"/>
    <col min="1799" max="1799" width="10" style="4" customWidth="1"/>
    <col min="1800" max="1800" width="6.875" style="4" customWidth="1"/>
    <col min="1801" max="2049" width="10.375" style="4"/>
    <col min="2050" max="2050" width="5.125" style="4" customWidth="1"/>
    <col min="2051" max="2051" width="7.25" style="4" customWidth="1"/>
    <col min="2052" max="2052" width="32.625" style="4" customWidth="1"/>
    <col min="2053" max="2053" width="15.625" style="4" customWidth="1"/>
    <col min="2054" max="2054" width="3.875" style="4" customWidth="1"/>
    <col min="2055" max="2055" width="10" style="4" customWidth="1"/>
    <col min="2056" max="2056" width="6.875" style="4" customWidth="1"/>
    <col min="2057" max="2305" width="10.375" style="4"/>
    <col min="2306" max="2306" width="5.125" style="4" customWidth="1"/>
    <col min="2307" max="2307" width="7.25" style="4" customWidth="1"/>
    <col min="2308" max="2308" width="32.625" style="4" customWidth="1"/>
    <col min="2309" max="2309" width="15.625" style="4" customWidth="1"/>
    <col min="2310" max="2310" width="3.875" style="4" customWidth="1"/>
    <col min="2311" max="2311" width="10" style="4" customWidth="1"/>
    <col min="2312" max="2312" width="6.875" style="4" customWidth="1"/>
    <col min="2313" max="2561" width="10.375" style="4"/>
    <col min="2562" max="2562" width="5.125" style="4" customWidth="1"/>
    <col min="2563" max="2563" width="7.25" style="4" customWidth="1"/>
    <col min="2564" max="2564" width="32.625" style="4" customWidth="1"/>
    <col min="2565" max="2565" width="15.625" style="4" customWidth="1"/>
    <col min="2566" max="2566" width="3.875" style="4" customWidth="1"/>
    <col min="2567" max="2567" width="10" style="4" customWidth="1"/>
    <col min="2568" max="2568" width="6.875" style="4" customWidth="1"/>
    <col min="2569" max="2817" width="10.375" style="4"/>
    <col min="2818" max="2818" width="5.125" style="4" customWidth="1"/>
    <col min="2819" max="2819" width="7.25" style="4" customWidth="1"/>
    <col min="2820" max="2820" width="32.625" style="4" customWidth="1"/>
    <col min="2821" max="2821" width="15.625" style="4" customWidth="1"/>
    <col min="2822" max="2822" width="3.875" style="4" customWidth="1"/>
    <col min="2823" max="2823" width="10" style="4" customWidth="1"/>
    <col min="2824" max="2824" width="6.875" style="4" customWidth="1"/>
    <col min="2825" max="3073" width="10.375" style="4"/>
    <col min="3074" max="3074" width="5.125" style="4" customWidth="1"/>
    <col min="3075" max="3075" width="7.25" style="4" customWidth="1"/>
    <col min="3076" max="3076" width="32.625" style="4" customWidth="1"/>
    <col min="3077" max="3077" width="15.625" style="4" customWidth="1"/>
    <col min="3078" max="3078" width="3.875" style="4" customWidth="1"/>
    <col min="3079" max="3079" width="10" style="4" customWidth="1"/>
    <col min="3080" max="3080" width="6.875" style="4" customWidth="1"/>
    <col min="3081" max="3329" width="10.375" style="4"/>
    <col min="3330" max="3330" width="5.125" style="4" customWidth="1"/>
    <col min="3331" max="3331" width="7.25" style="4" customWidth="1"/>
    <col min="3332" max="3332" width="32.625" style="4" customWidth="1"/>
    <col min="3333" max="3333" width="15.625" style="4" customWidth="1"/>
    <col min="3334" max="3334" width="3.875" style="4" customWidth="1"/>
    <col min="3335" max="3335" width="10" style="4" customWidth="1"/>
    <col min="3336" max="3336" width="6.875" style="4" customWidth="1"/>
    <col min="3337" max="3585" width="10.375" style="4"/>
    <col min="3586" max="3586" width="5.125" style="4" customWidth="1"/>
    <col min="3587" max="3587" width="7.25" style="4" customWidth="1"/>
    <col min="3588" max="3588" width="32.625" style="4" customWidth="1"/>
    <col min="3589" max="3589" width="15.625" style="4" customWidth="1"/>
    <col min="3590" max="3590" width="3.875" style="4" customWidth="1"/>
    <col min="3591" max="3591" width="10" style="4" customWidth="1"/>
    <col min="3592" max="3592" width="6.875" style="4" customWidth="1"/>
    <col min="3593" max="3841" width="10.375" style="4"/>
    <col min="3842" max="3842" width="5.125" style="4" customWidth="1"/>
    <col min="3843" max="3843" width="7.25" style="4" customWidth="1"/>
    <col min="3844" max="3844" width="32.625" style="4" customWidth="1"/>
    <col min="3845" max="3845" width="15.625" style="4" customWidth="1"/>
    <col min="3846" max="3846" width="3.875" style="4" customWidth="1"/>
    <col min="3847" max="3847" width="10" style="4" customWidth="1"/>
    <col min="3848" max="3848" width="6.875" style="4" customWidth="1"/>
    <col min="3849" max="4097" width="10.375" style="4"/>
    <col min="4098" max="4098" width="5.125" style="4" customWidth="1"/>
    <col min="4099" max="4099" width="7.25" style="4" customWidth="1"/>
    <col min="4100" max="4100" width="32.625" style="4" customWidth="1"/>
    <col min="4101" max="4101" width="15.625" style="4" customWidth="1"/>
    <col min="4102" max="4102" width="3.875" style="4" customWidth="1"/>
    <col min="4103" max="4103" width="10" style="4" customWidth="1"/>
    <col min="4104" max="4104" width="6.875" style="4" customWidth="1"/>
    <col min="4105" max="4353" width="10.375" style="4"/>
    <col min="4354" max="4354" width="5.125" style="4" customWidth="1"/>
    <col min="4355" max="4355" width="7.25" style="4" customWidth="1"/>
    <col min="4356" max="4356" width="32.625" style="4" customWidth="1"/>
    <col min="4357" max="4357" width="15.625" style="4" customWidth="1"/>
    <col min="4358" max="4358" width="3.875" style="4" customWidth="1"/>
    <col min="4359" max="4359" width="10" style="4" customWidth="1"/>
    <col min="4360" max="4360" width="6.875" style="4" customWidth="1"/>
    <col min="4361" max="4609" width="10.375" style="4"/>
    <col min="4610" max="4610" width="5.125" style="4" customWidth="1"/>
    <col min="4611" max="4611" width="7.25" style="4" customWidth="1"/>
    <col min="4612" max="4612" width="32.625" style="4" customWidth="1"/>
    <col min="4613" max="4613" width="15.625" style="4" customWidth="1"/>
    <col min="4614" max="4614" width="3.875" style="4" customWidth="1"/>
    <col min="4615" max="4615" width="10" style="4" customWidth="1"/>
    <col min="4616" max="4616" width="6.875" style="4" customWidth="1"/>
    <col min="4617" max="4865" width="10.375" style="4"/>
    <col min="4866" max="4866" width="5.125" style="4" customWidth="1"/>
    <col min="4867" max="4867" width="7.25" style="4" customWidth="1"/>
    <col min="4868" max="4868" width="32.625" style="4" customWidth="1"/>
    <col min="4869" max="4869" width="15.625" style="4" customWidth="1"/>
    <col min="4870" max="4870" width="3.875" style="4" customWidth="1"/>
    <col min="4871" max="4871" width="10" style="4" customWidth="1"/>
    <col min="4872" max="4872" width="6.875" style="4" customWidth="1"/>
    <col min="4873" max="5121" width="10.375" style="4"/>
    <col min="5122" max="5122" width="5.125" style="4" customWidth="1"/>
    <col min="5123" max="5123" width="7.25" style="4" customWidth="1"/>
    <col min="5124" max="5124" width="32.625" style="4" customWidth="1"/>
    <col min="5125" max="5125" width="15.625" style="4" customWidth="1"/>
    <col min="5126" max="5126" width="3.875" style="4" customWidth="1"/>
    <col min="5127" max="5127" width="10" style="4" customWidth="1"/>
    <col min="5128" max="5128" width="6.875" style="4" customWidth="1"/>
    <col min="5129" max="5377" width="10.375" style="4"/>
    <col min="5378" max="5378" width="5.125" style="4" customWidth="1"/>
    <col min="5379" max="5379" width="7.25" style="4" customWidth="1"/>
    <col min="5380" max="5380" width="32.625" style="4" customWidth="1"/>
    <col min="5381" max="5381" width="15.625" style="4" customWidth="1"/>
    <col min="5382" max="5382" width="3.875" style="4" customWidth="1"/>
    <col min="5383" max="5383" width="10" style="4" customWidth="1"/>
    <col min="5384" max="5384" width="6.875" style="4" customWidth="1"/>
    <col min="5385" max="5633" width="10.375" style="4"/>
    <col min="5634" max="5634" width="5.125" style="4" customWidth="1"/>
    <col min="5635" max="5635" width="7.25" style="4" customWidth="1"/>
    <col min="5636" max="5636" width="32.625" style="4" customWidth="1"/>
    <col min="5637" max="5637" width="15.625" style="4" customWidth="1"/>
    <col min="5638" max="5638" width="3.875" style="4" customWidth="1"/>
    <col min="5639" max="5639" width="10" style="4" customWidth="1"/>
    <col min="5640" max="5640" width="6.875" style="4" customWidth="1"/>
    <col min="5641" max="5889" width="10.375" style="4"/>
    <col min="5890" max="5890" width="5.125" style="4" customWidth="1"/>
    <col min="5891" max="5891" width="7.25" style="4" customWidth="1"/>
    <col min="5892" max="5892" width="32.625" style="4" customWidth="1"/>
    <col min="5893" max="5893" width="15.625" style="4" customWidth="1"/>
    <col min="5894" max="5894" width="3.875" style="4" customWidth="1"/>
    <col min="5895" max="5895" width="10" style="4" customWidth="1"/>
    <col min="5896" max="5896" width="6.875" style="4" customWidth="1"/>
    <col min="5897" max="6145" width="10.375" style="4"/>
    <col min="6146" max="6146" width="5.125" style="4" customWidth="1"/>
    <col min="6147" max="6147" width="7.25" style="4" customWidth="1"/>
    <col min="6148" max="6148" width="32.625" style="4" customWidth="1"/>
    <col min="6149" max="6149" width="15.625" style="4" customWidth="1"/>
    <col min="6150" max="6150" width="3.875" style="4" customWidth="1"/>
    <col min="6151" max="6151" width="10" style="4" customWidth="1"/>
    <col min="6152" max="6152" width="6.875" style="4" customWidth="1"/>
    <col min="6153" max="6401" width="10.375" style="4"/>
    <col min="6402" max="6402" width="5.125" style="4" customWidth="1"/>
    <col min="6403" max="6403" width="7.25" style="4" customWidth="1"/>
    <col min="6404" max="6404" width="32.625" style="4" customWidth="1"/>
    <col min="6405" max="6405" width="15.625" style="4" customWidth="1"/>
    <col min="6406" max="6406" width="3.875" style="4" customWidth="1"/>
    <col min="6407" max="6407" width="10" style="4" customWidth="1"/>
    <col min="6408" max="6408" width="6.875" style="4" customWidth="1"/>
    <col min="6409" max="6657" width="10.375" style="4"/>
    <col min="6658" max="6658" width="5.125" style="4" customWidth="1"/>
    <col min="6659" max="6659" width="7.25" style="4" customWidth="1"/>
    <col min="6660" max="6660" width="32.625" style="4" customWidth="1"/>
    <col min="6661" max="6661" width="15.625" style="4" customWidth="1"/>
    <col min="6662" max="6662" width="3.875" style="4" customWidth="1"/>
    <col min="6663" max="6663" width="10" style="4" customWidth="1"/>
    <col min="6664" max="6664" width="6.875" style="4" customWidth="1"/>
    <col min="6665" max="6913" width="10.375" style="4"/>
    <col min="6914" max="6914" width="5.125" style="4" customWidth="1"/>
    <col min="6915" max="6915" width="7.25" style="4" customWidth="1"/>
    <col min="6916" max="6916" width="32.625" style="4" customWidth="1"/>
    <col min="6917" max="6917" width="15.625" style="4" customWidth="1"/>
    <col min="6918" max="6918" width="3.875" style="4" customWidth="1"/>
    <col min="6919" max="6919" width="10" style="4" customWidth="1"/>
    <col min="6920" max="6920" width="6.875" style="4" customWidth="1"/>
    <col min="6921" max="7169" width="10.375" style="4"/>
    <col min="7170" max="7170" width="5.125" style="4" customWidth="1"/>
    <col min="7171" max="7171" width="7.25" style="4" customWidth="1"/>
    <col min="7172" max="7172" width="32.625" style="4" customWidth="1"/>
    <col min="7173" max="7173" width="15.625" style="4" customWidth="1"/>
    <col min="7174" max="7174" width="3.875" style="4" customWidth="1"/>
    <col min="7175" max="7175" width="10" style="4" customWidth="1"/>
    <col min="7176" max="7176" width="6.875" style="4" customWidth="1"/>
    <col min="7177" max="7425" width="10.375" style="4"/>
    <col min="7426" max="7426" width="5.125" style="4" customWidth="1"/>
    <col min="7427" max="7427" width="7.25" style="4" customWidth="1"/>
    <col min="7428" max="7428" width="32.625" style="4" customWidth="1"/>
    <col min="7429" max="7429" width="15.625" style="4" customWidth="1"/>
    <col min="7430" max="7430" width="3.875" style="4" customWidth="1"/>
    <col min="7431" max="7431" width="10" style="4" customWidth="1"/>
    <col min="7432" max="7432" width="6.875" style="4" customWidth="1"/>
    <col min="7433" max="7681" width="10.375" style="4"/>
    <col min="7682" max="7682" width="5.125" style="4" customWidth="1"/>
    <col min="7683" max="7683" width="7.25" style="4" customWidth="1"/>
    <col min="7684" max="7684" width="32.625" style="4" customWidth="1"/>
    <col min="7685" max="7685" width="15.625" style="4" customWidth="1"/>
    <col min="7686" max="7686" width="3.875" style="4" customWidth="1"/>
    <col min="7687" max="7687" width="10" style="4" customWidth="1"/>
    <col min="7688" max="7688" width="6.875" style="4" customWidth="1"/>
    <col min="7689" max="7937" width="10.375" style="4"/>
    <col min="7938" max="7938" width="5.125" style="4" customWidth="1"/>
    <col min="7939" max="7939" width="7.25" style="4" customWidth="1"/>
    <col min="7940" max="7940" width="32.625" style="4" customWidth="1"/>
    <col min="7941" max="7941" width="15.625" style="4" customWidth="1"/>
    <col min="7942" max="7942" width="3.875" style="4" customWidth="1"/>
    <col min="7943" max="7943" width="10" style="4" customWidth="1"/>
    <col min="7944" max="7944" width="6.875" style="4" customWidth="1"/>
    <col min="7945" max="8193" width="10.375" style="4"/>
    <col min="8194" max="8194" width="5.125" style="4" customWidth="1"/>
    <col min="8195" max="8195" width="7.25" style="4" customWidth="1"/>
    <col min="8196" max="8196" width="32.625" style="4" customWidth="1"/>
    <col min="8197" max="8197" width="15.625" style="4" customWidth="1"/>
    <col min="8198" max="8198" width="3.875" style="4" customWidth="1"/>
    <col min="8199" max="8199" width="10" style="4" customWidth="1"/>
    <col min="8200" max="8200" width="6.875" style="4" customWidth="1"/>
    <col min="8201" max="8449" width="10.375" style="4"/>
    <col min="8450" max="8450" width="5.125" style="4" customWidth="1"/>
    <col min="8451" max="8451" width="7.25" style="4" customWidth="1"/>
    <col min="8452" max="8452" width="32.625" style="4" customWidth="1"/>
    <col min="8453" max="8453" width="15.625" style="4" customWidth="1"/>
    <col min="8454" max="8454" width="3.875" style="4" customWidth="1"/>
    <col min="8455" max="8455" width="10" style="4" customWidth="1"/>
    <col min="8456" max="8456" width="6.875" style="4" customWidth="1"/>
    <col min="8457" max="8705" width="10.375" style="4"/>
    <col min="8706" max="8706" width="5.125" style="4" customWidth="1"/>
    <col min="8707" max="8707" width="7.25" style="4" customWidth="1"/>
    <col min="8708" max="8708" width="32.625" style="4" customWidth="1"/>
    <col min="8709" max="8709" width="15.625" style="4" customWidth="1"/>
    <col min="8710" max="8710" width="3.875" style="4" customWidth="1"/>
    <col min="8711" max="8711" width="10" style="4" customWidth="1"/>
    <col min="8712" max="8712" width="6.875" style="4" customWidth="1"/>
    <col min="8713" max="8961" width="10.375" style="4"/>
    <col min="8962" max="8962" width="5.125" style="4" customWidth="1"/>
    <col min="8963" max="8963" width="7.25" style="4" customWidth="1"/>
    <col min="8964" max="8964" width="32.625" style="4" customWidth="1"/>
    <col min="8965" max="8965" width="15.625" style="4" customWidth="1"/>
    <col min="8966" max="8966" width="3.875" style="4" customWidth="1"/>
    <col min="8967" max="8967" width="10" style="4" customWidth="1"/>
    <col min="8968" max="8968" width="6.875" style="4" customWidth="1"/>
    <col min="8969" max="9217" width="10.375" style="4"/>
    <col min="9218" max="9218" width="5.125" style="4" customWidth="1"/>
    <col min="9219" max="9219" width="7.25" style="4" customWidth="1"/>
    <col min="9220" max="9220" width="32.625" style="4" customWidth="1"/>
    <col min="9221" max="9221" width="15.625" style="4" customWidth="1"/>
    <col min="9222" max="9222" width="3.875" style="4" customWidth="1"/>
    <col min="9223" max="9223" width="10" style="4" customWidth="1"/>
    <col min="9224" max="9224" width="6.875" style="4" customWidth="1"/>
    <col min="9225" max="9473" width="10.375" style="4"/>
    <col min="9474" max="9474" width="5.125" style="4" customWidth="1"/>
    <col min="9475" max="9475" width="7.25" style="4" customWidth="1"/>
    <col min="9476" max="9476" width="32.625" style="4" customWidth="1"/>
    <col min="9477" max="9477" width="15.625" style="4" customWidth="1"/>
    <col min="9478" max="9478" width="3.875" style="4" customWidth="1"/>
    <col min="9479" max="9479" width="10" style="4" customWidth="1"/>
    <col min="9480" max="9480" width="6.875" style="4" customWidth="1"/>
    <col min="9481" max="9729" width="10.375" style="4"/>
    <col min="9730" max="9730" width="5.125" style="4" customWidth="1"/>
    <col min="9731" max="9731" width="7.25" style="4" customWidth="1"/>
    <col min="9732" max="9732" width="32.625" style="4" customWidth="1"/>
    <col min="9733" max="9733" width="15.625" style="4" customWidth="1"/>
    <col min="9734" max="9734" width="3.875" style="4" customWidth="1"/>
    <col min="9735" max="9735" width="10" style="4" customWidth="1"/>
    <col min="9736" max="9736" width="6.875" style="4" customWidth="1"/>
    <col min="9737" max="9985" width="10.375" style="4"/>
    <col min="9986" max="9986" width="5.125" style="4" customWidth="1"/>
    <col min="9987" max="9987" width="7.25" style="4" customWidth="1"/>
    <col min="9988" max="9988" width="32.625" style="4" customWidth="1"/>
    <col min="9989" max="9989" width="15.625" style="4" customWidth="1"/>
    <col min="9990" max="9990" width="3.875" style="4" customWidth="1"/>
    <col min="9991" max="9991" width="10" style="4" customWidth="1"/>
    <col min="9992" max="9992" width="6.875" style="4" customWidth="1"/>
    <col min="9993" max="10241" width="10.375" style="4"/>
    <col min="10242" max="10242" width="5.125" style="4" customWidth="1"/>
    <col min="10243" max="10243" width="7.25" style="4" customWidth="1"/>
    <col min="10244" max="10244" width="32.625" style="4" customWidth="1"/>
    <col min="10245" max="10245" width="15.625" style="4" customWidth="1"/>
    <col min="10246" max="10246" width="3.875" style="4" customWidth="1"/>
    <col min="10247" max="10247" width="10" style="4" customWidth="1"/>
    <col min="10248" max="10248" width="6.875" style="4" customWidth="1"/>
    <col min="10249" max="10497" width="10.375" style="4"/>
    <col min="10498" max="10498" width="5.125" style="4" customWidth="1"/>
    <col min="10499" max="10499" width="7.25" style="4" customWidth="1"/>
    <col min="10500" max="10500" width="32.625" style="4" customWidth="1"/>
    <col min="10501" max="10501" width="15.625" style="4" customWidth="1"/>
    <col min="10502" max="10502" width="3.875" style="4" customWidth="1"/>
    <col min="10503" max="10503" width="10" style="4" customWidth="1"/>
    <col min="10504" max="10504" width="6.875" style="4" customWidth="1"/>
    <col min="10505" max="10753" width="10.375" style="4"/>
    <col min="10754" max="10754" width="5.125" style="4" customWidth="1"/>
    <col min="10755" max="10755" width="7.25" style="4" customWidth="1"/>
    <col min="10756" max="10756" width="32.625" style="4" customWidth="1"/>
    <col min="10757" max="10757" width="15.625" style="4" customWidth="1"/>
    <col min="10758" max="10758" width="3.875" style="4" customWidth="1"/>
    <col min="10759" max="10759" width="10" style="4" customWidth="1"/>
    <col min="10760" max="10760" width="6.875" style="4" customWidth="1"/>
    <col min="10761" max="11009" width="10.375" style="4"/>
    <col min="11010" max="11010" width="5.125" style="4" customWidth="1"/>
    <col min="11011" max="11011" width="7.25" style="4" customWidth="1"/>
    <col min="11012" max="11012" width="32.625" style="4" customWidth="1"/>
    <col min="11013" max="11013" width="15.625" style="4" customWidth="1"/>
    <col min="11014" max="11014" width="3.875" style="4" customWidth="1"/>
    <col min="11015" max="11015" width="10" style="4" customWidth="1"/>
    <col min="11016" max="11016" width="6.875" style="4" customWidth="1"/>
    <col min="11017" max="11265" width="10.375" style="4"/>
    <col min="11266" max="11266" width="5.125" style="4" customWidth="1"/>
    <col min="11267" max="11267" width="7.25" style="4" customWidth="1"/>
    <col min="11268" max="11268" width="32.625" style="4" customWidth="1"/>
    <col min="11269" max="11269" width="15.625" style="4" customWidth="1"/>
    <col min="11270" max="11270" width="3.875" style="4" customWidth="1"/>
    <col min="11271" max="11271" width="10" style="4" customWidth="1"/>
    <col min="11272" max="11272" width="6.875" style="4" customWidth="1"/>
    <col min="11273" max="11521" width="10.375" style="4"/>
    <col min="11522" max="11522" width="5.125" style="4" customWidth="1"/>
    <col min="11523" max="11523" width="7.25" style="4" customWidth="1"/>
    <col min="11524" max="11524" width="32.625" style="4" customWidth="1"/>
    <col min="11525" max="11525" width="15.625" style="4" customWidth="1"/>
    <col min="11526" max="11526" width="3.875" style="4" customWidth="1"/>
    <col min="11527" max="11527" width="10" style="4" customWidth="1"/>
    <col min="11528" max="11528" width="6.875" style="4" customWidth="1"/>
    <col min="11529" max="11777" width="10.375" style="4"/>
    <col min="11778" max="11778" width="5.125" style="4" customWidth="1"/>
    <col min="11779" max="11779" width="7.25" style="4" customWidth="1"/>
    <col min="11780" max="11780" width="32.625" style="4" customWidth="1"/>
    <col min="11781" max="11781" width="15.625" style="4" customWidth="1"/>
    <col min="11782" max="11782" width="3.875" style="4" customWidth="1"/>
    <col min="11783" max="11783" width="10" style="4" customWidth="1"/>
    <col min="11784" max="11784" width="6.875" style="4" customWidth="1"/>
    <col min="11785" max="12033" width="10.375" style="4"/>
    <col min="12034" max="12034" width="5.125" style="4" customWidth="1"/>
    <col min="12035" max="12035" width="7.25" style="4" customWidth="1"/>
    <col min="12036" max="12036" width="32.625" style="4" customWidth="1"/>
    <col min="12037" max="12037" width="15.625" style="4" customWidth="1"/>
    <col min="12038" max="12038" width="3.875" style="4" customWidth="1"/>
    <col min="12039" max="12039" width="10" style="4" customWidth="1"/>
    <col min="12040" max="12040" width="6.875" style="4" customWidth="1"/>
    <col min="12041" max="12289" width="10.375" style="4"/>
    <col min="12290" max="12290" width="5.125" style="4" customWidth="1"/>
    <col min="12291" max="12291" width="7.25" style="4" customWidth="1"/>
    <col min="12292" max="12292" width="32.625" style="4" customWidth="1"/>
    <col min="12293" max="12293" width="15.625" style="4" customWidth="1"/>
    <col min="12294" max="12294" width="3.875" style="4" customWidth="1"/>
    <col min="12295" max="12295" width="10" style="4" customWidth="1"/>
    <col min="12296" max="12296" width="6.875" style="4" customWidth="1"/>
    <col min="12297" max="12545" width="10.375" style="4"/>
    <col min="12546" max="12546" width="5.125" style="4" customWidth="1"/>
    <col min="12547" max="12547" width="7.25" style="4" customWidth="1"/>
    <col min="12548" max="12548" width="32.625" style="4" customWidth="1"/>
    <col min="12549" max="12549" width="15.625" style="4" customWidth="1"/>
    <col min="12550" max="12550" width="3.875" style="4" customWidth="1"/>
    <col min="12551" max="12551" width="10" style="4" customWidth="1"/>
    <col min="12552" max="12552" width="6.875" style="4" customWidth="1"/>
    <col min="12553" max="12801" width="10.375" style="4"/>
    <col min="12802" max="12802" width="5.125" style="4" customWidth="1"/>
    <col min="12803" max="12803" width="7.25" style="4" customWidth="1"/>
    <col min="12804" max="12804" width="32.625" style="4" customWidth="1"/>
    <col min="12805" max="12805" width="15.625" style="4" customWidth="1"/>
    <col min="12806" max="12806" width="3.875" style="4" customWidth="1"/>
    <col min="12807" max="12807" width="10" style="4" customWidth="1"/>
    <col min="12808" max="12808" width="6.875" style="4" customWidth="1"/>
    <col min="12809" max="13057" width="10.375" style="4"/>
    <col min="13058" max="13058" width="5.125" style="4" customWidth="1"/>
    <col min="13059" max="13059" width="7.25" style="4" customWidth="1"/>
    <col min="13060" max="13060" width="32.625" style="4" customWidth="1"/>
    <col min="13061" max="13061" width="15.625" style="4" customWidth="1"/>
    <col min="13062" max="13062" width="3.875" style="4" customWidth="1"/>
    <col min="13063" max="13063" width="10" style="4" customWidth="1"/>
    <col min="13064" max="13064" width="6.875" style="4" customWidth="1"/>
    <col min="13065" max="13313" width="10.375" style="4"/>
    <col min="13314" max="13314" width="5.125" style="4" customWidth="1"/>
    <col min="13315" max="13315" width="7.25" style="4" customWidth="1"/>
    <col min="13316" max="13316" width="32.625" style="4" customWidth="1"/>
    <col min="13317" max="13317" width="15.625" style="4" customWidth="1"/>
    <col min="13318" max="13318" width="3.875" style="4" customWidth="1"/>
    <col min="13319" max="13319" width="10" style="4" customWidth="1"/>
    <col min="13320" max="13320" width="6.875" style="4" customWidth="1"/>
    <col min="13321" max="13569" width="10.375" style="4"/>
    <col min="13570" max="13570" width="5.125" style="4" customWidth="1"/>
    <col min="13571" max="13571" width="7.25" style="4" customWidth="1"/>
    <col min="13572" max="13572" width="32.625" style="4" customWidth="1"/>
    <col min="13573" max="13573" width="15.625" style="4" customWidth="1"/>
    <col min="13574" max="13574" width="3.875" style="4" customWidth="1"/>
    <col min="13575" max="13575" width="10" style="4" customWidth="1"/>
    <col min="13576" max="13576" width="6.875" style="4" customWidth="1"/>
    <col min="13577" max="13825" width="10.375" style="4"/>
    <col min="13826" max="13826" width="5.125" style="4" customWidth="1"/>
    <col min="13827" max="13827" width="7.25" style="4" customWidth="1"/>
    <col min="13828" max="13828" width="32.625" style="4" customWidth="1"/>
    <col min="13829" max="13829" width="15.625" style="4" customWidth="1"/>
    <col min="13830" max="13830" width="3.875" style="4" customWidth="1"/>
    <col min="13831" max="13831" width="10" style="4" customWidth="1"/>
    <col min="13832" max="13832" width="6.875" style="4" customWidth="1"/>
    <col min="13833" max="14081" width="10.375" style="4"/>
    <col min="14082" max="14082" width="5.125" style="4" customWidth="1"/>
    <col min="14083" max="14083" width="7.25" style="4" customWidth="1"/>
    <col min="14084" max="14084" width="32.625" style="4" customWidth="1"/>
    <col min="14085" max="14085" width="15.625" style="4" customWidth="1"/>
    <col min="14086" max="14086" width="3.875" style="4" customWidth="1"/>
    <col min="14087" max="14087" width="10" style="4" customWidth="1"/>
    <col min="14088" max="14088" width="6.875" style="4" customWidth="1"/>
    <col min="14089" max="14337" width="10.375" style="4"/>
    <col min="14338" max="14338" width="5.125" style="4" customWidth="1"/>
    <col min="14339" max="14339" width="7.25" style="4" customWidth="1"/>
    <col min="14340" max="14340" width="32.625" style="4" customWidth="1"/>
    <col min="14341" max="14341" width="15.625" style="4" customWidth="1"/>
    <col min="14342" max="14342" width="3.875" style="4" customWidth="1"/>
    <col min="14343" max="14343" width="10" style="4" customWidth="1"/>
    <col min="14344" max="14344" width="6.875" style="4" customWidth="1"/>
    <col min="14345" max="14593" width="10.375" style="4"/>
    <col min="14594" max="14594" width="5.125" style="4" customWidth="1"/>
    <col min="14595" max="14595" width="7.25" style="4" customWidth="1"/>
    <col min="14596" max="14596" width="32.625" style="4" customWidth="1"/>
    <col min="14597" max="14597" width="15.625" style="4" customWidth="1"/>
    <col min="14598" max="14598" width="3.875" style="4" customWidth="1"/>
    <col min="14599" max="14599" width="10" style="4" customWidth="1"/>
    <col min="14600" max="14600" width="6.875" style="4" customWidth="1"/>
    <col min="14601" max="14849" width="10.375" style="4"/>
    <col min="14850" max="14850" width="5.125" style="4" customWidth="1"/>
    <col min="14851" max="14851" width="7.25" style="4" customWidth="1"/>
    <col min="14852" max="14852" width="32.625" style="4" customWidth="1"/>
    <col min="14853" max="14853" width="15.625" style="4" customWidth="1"/>
    <col min="14854" max="14854" width="3.875" style="4" customWidth="1"/>
    <col min="14855" max="14855" width="10" style="4" customWidth="1"/>
    <col min="14856" max="14856" width="6.875" style="4" customWidth="1"/>
    <col min="14857" max="15105" width="10.375" style="4"/>
    <col min="15106" max="15106" width="5.125" style="4" customWidth="1"/>
    <col min="15107" max="15107" width="7.25" style="4" customWidth="1"/>
    <col min="15108" max="15108" width="32.625" style="4" customWidth="1"/>
    <col min="15109" max="15109" width="15.625" style="4" customWidth="1"/>
    <col min="15110" max="15110" width="3.875" style="4" customWidth="1"/>
    <col min="15111" max="15111" width="10" style="4" customWidth="1"/>
    <col min="15112" max="15112" width="6.875" style="4" customWidth="1"/>
    <col min="15113" max="15361" width="10.375" style="4"/>
    <col min="15362" max="15362" width="5.125" style="4" customWidth="1"/>
    <col min="15363" max="15363" width="7.25" style="4" customWidth="1"/>
    <col min="15364" max="15364" width="32.625" style="4" customWidth="1"/>
    <col min="15365" max="15365" width="15.625" style="4" customWidth="1"/>
    <col min="15366" max="15366" width="3.875" style="4" customWidth="1"/>
    <col min="15367" max="15367" width="10" style="4" customWidth="1"/>
    <col min="15368" max="15368" width="6.875" style="4" customWidth="1"/>
    <col min="15369" max="15617" width="10.375" style="4"/>
    <col min="15618" max="15618" width="5.125" style="4" customWidth="1"/>
    <col min="15619" max="15619" width="7.25" style="4" customWidth="1"/>
    <col min="15620" max="15620" width="32.625" style="4" customWidth="1"/>
    <col min="15621" max="15621" width="15.625" style="4" customWidth="1"/>
    <col min="15622" max="15622" width="3.875" style="4" customWidth="1"/>
    <col min="15623" max="15623" width="10" style="4" customWidth="1"/>
    <col min="15624" max="15624" width="6.875" style="4" customWidth="1"/>
    <col min="15625" max="15873" width="10.375" style="4"/>
    <col min="15874" max="15874" width="5.125" style="4" customWidth="1"/>
    <col min="15875" max="15875" width="7.25" style="4" customWidth="1"/>
    <col min="15876" max="15876" width="32.625" style="4" customWidth="1"/>
    <col min="15877" max="15877" width="15.625" style="4" customWidth="1"/>
    <col min="15878" max="15878" width="3.875" style="4" customWidth="1"/>
    <col min="15879" max="15879" width="10" style="4" customWidth="1"/>
    <col min="15880" max="15880" width="6.875" style="4" customWidth="1"/>
    <col min="15881" max="16129" width="10.375" style="4"/>
    <col min="16130" max="16130" width="5.125" style="4" customWidth="1"/>
    <col min="16131" max="16131" width="7.25" style="4" customWidth="1"/>
    <col min="16132" max="16132" width="32.625" style="4" customWidth="1"/>
    <col min="16133" max="16133" width="15.625" style="4" customWidth="1"/>
    <col min="16134" max="16134" width="3.875" style="4" customWidth="1"/>
    <col min="16135" max="16135" width="10" style="4" customWidth="1"/>
    <col min="16136" max="16136" width="6.875" style="4" customWidth="1"/>
    <col min="16137" max="16384" width="10.375" style="4"/>
  </cols>
  <sheetData>
    <row r="2" spans="2:15">
      <c r="B2" s="46" t="s">
        <v>312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2:15">
      <c r="B3" s="4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46"/>
    </row>
    <row r="4" spans="2:15">
      <c r="B4" s="46"/>
      <c r="C4" s="226"/>
      <c r="D4" s="232"/>
      <c r="E4" s="329"/>
      <c r="F4" s="329"/>
      <c r="G4" s="329"/>
      <c r="H4" s="329"/>
      <c r="I4" s="329"/>
      <c r="J4" s="329"/>
      <c r="K4" s="329"/>
      <c r="L4" s="329"/>
      <c r="M4" s="329"/>
      <c r="N4" s="551"/>
      <c r="O4" s="46"/>
    </row>
    <row r="5" spans="2:15">
      <c r="B5" s="46"/>
      <c r="C5" s="226"/>
      <c r="D5" s="722" t="s">
        <v>313</v>
      </c>
      <c r="E5" s="722"/>
      <c r="F5" s="722"/>
      <c r="G5" s="722"/>
      <c r="H5" s="722"/>
      <c r="I5" s="722"/>
      <c r="J5" s="722"/>
      <c r="K5" s="722"/>
      <c r="L5" s="722"/>
      <c r="M5" s="722"/>
      <c r="N5" s="551"/>
      <c r="O5" s="46"/>
    </row>
    <row r="6" spans="2:15">
      <c r="B6" s="46"/>
      <c r="C6" s="226"/>
      <c r="D6" s="723" t="s">
        <v>314</v>
      </c>
      <c r="E6" s="724"/>
      <c r="F6" s="724"/>
      <c r="G6" s="724"/>
      <c r="H6" s="724"/>
      <c r="I6" s="724"/>
      <c r="J6" s="724"/>
      <c r="K6" s="724"/>
      <c r="L6" s="724"/>
      <c r="M6" s="725"/>
      <c r="N6" s="551"/>
      <c r="O6" s="46"/>
    </row>
    <row r="7" spans="2:15">
      <c r="B7" s="46"/>
      <c r="C7" s="226"/>
      <c r="D7" s="726"/>
      <c r="E7" s="726">
        <v>2018</v>
      </c>
      <c r="F7" s="726">
        <v>2019</v>
      </c>
      <c r="G7" s="726">
        <v>2020</v>
      </c>
      <c r="H7" s="726">
        <v>2021</v>
      </c>
      <c r="I7" s="726">
        <v>2022</v>
      </c>
      <c r="J7" s="726">
        <v>2023</v>
      </c>
      <c r="K7" s="726">
        <v>2024</v>
      </c>
      <c r="L7" s="726">
        <v>2025</v>
      </c>
      <c r="M7" s="726">
        <v>2026</v>
      </c>
      <c r="N7" s="551"/>
      <c r="O7" s="46"/>
    </row>
    <row r="8" spans="2:15">
      <c r="B8" s="46"/>
      <c r="C8" s="226"/>
      <c r="D8" s="727"/>
      <c r="E8" s="728">
        <v>0</v>
      </c>
      <c r="F8" s="728">
        <f t="shared" ref="F8:M8" si="0">F9/E9-1</f>
        <v>6.9762371107717991E-2</v>
      </c>
      <c r="G8" s="728">
        <f t="shared" si="0"/>
        <v>4.8572292926381655E-2</v>
      </c>
      <c r="H8" s="728">
        <f t="shared" si="0"/>
        <v>3.3670885500128422E-2</v>
      </c>
      <c r="I8" s="728">
        <f t="shared" si="0"/>
        <v>2.6544813997405825E-2</v>
      </c>
      <c r="J8" s="728">
        <f t="shared" si="0"/>
        <v>2.9374578306816446E-2</v>
      </c>
      <c r="K8" s="728">
        <f t="shared" si="0"/>
        <v>3.146538164097068E-2</v>
      </c>
      <c r="L8" s="728">
        <f t="shared" si="0"/>
        <v>2.0517201377886707E-2</v>
      </c>
      <c r="M8" s="728">
        <f t="shared" si="0"/>
        <v>2.1100517458223278E-2</v>
      </c>
      <c r="N8" s="551"/>
      <c r="O8" s="46"/>
    </row>
    <row r="9" spans="2:15">
      <c r="B9" s="46"/>
      <c r="C9" s="226"/>
      <c r="D9" s="729" t="s">
        <v>315</v>
      </c>
      <c r="E9" s="76">
        <v>5095340</v>
      </c>
      <c r="F9" s="76">
        <v>5450803</v>
      </c>
      <c r="G9" s="76">
        <v>5715561</v>
      </c>
      <c r="H9" s="76">
        <v>5908009</v>
      </c>
      <c r="I9" s="76">
        <v>6064836</v>
      </c>
      <c r="J9" s="76">
        <v>6242988</v>
      </c>
      <c r="K9" s="76">
        <v>6439426</v>
      </c>
      <c r="L9" s="76">
        <v>6571545</v>
      </c>
      <c r="M9" s="76">
        <v>6710208</v>
      </c>
      <c r="N9" s="551"/>
      <c r="O9" s="46"/>
    </row>
    <row r="10" spans="2:15" ht="15" customHeight="1">
      <c r="B10" s="46"/>
      <c r="C10" s="226"/>
      <c r="D10" s="730" t="s">
        <v>316</v>
      </c>
      <c r="E10" s="79">
        <v>25195512</v>
      </c>
      <c r="F10" s="79">
        <v>27034927</v>
      </c>
      <c r="G10" s="79">
        <v>23228233</v>
      </c>
      <c r="H10" s="79">
        <v>22429402</v>
      </c>
      <c r="I10" s="79">
        <v>22982341</v>
      </c>
      <c r="J10" s="79">
        <v>23169954</v>
      </c>
      <c r="K10" s="79">
        <v>16443310</v>
      </c>
      <c r="L10" s="79">
        <v>14906779</v>
      </c>
      <c r="M10" s="79">
        <v>14954241</v>
      </c>
      <c r="N10" s="551"/>
      <c r="O10" s="46"/>
    </row>
    <row r="11" spans="2:15">
      <c r="B11" s="46"/>
      <c r="C11" s="226"/>
      <c r="D11" s="731" t="s">
        <v>317</v>
      </c>
      <c r="E11" s="732">
        <f t="shared" ref="E11:M11" si="1">ROUND(E10/E9,6)</f>
        <v>4.9448150000000002</v>
      </c>
      <c r="F11" s="732">
        <f t="shared" si="1"/>
        <v>4.9598060000000004</v>
      </c>
      <c r="G11" s="732">
        <f t="shared" si="1"/>
        <v>4.0640340000000004</v>
      </c>
      <c r="H11" s="732">
        <f t="shared" si="1"/>
        <v>3.79644</v>
      </c>
      <c r="I11" s="732">
        <f t="shared" si="1"/>
        <v>3.7894410000000001</v>
      </c>
      <c r="J11" s="732">
        <f t="shared" si="1"/>
        <v>3.7113559999999999</v>
      </c>
      <c r="K11" s="732">
        <f t="shared" si="1"/>
        <v>2.5535369999999999</v>
      </c>
      <c r="L11" s="732">
        <f t="shared" si="1"/>
        <v>2.268383</v>
      </c>
      <c r="M11" s="732">
        <f t="shared" si="1"/>
        <v>2.2285810000000001</v>
      </c>
      <c r="N11" s="551"/>
      <c r="O11" s="46"/>
    </row>
    <row r="12" spans="2:15">
      <c r="B12" s="4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551"/>
      <c r="O12" s="46"/>
    </row>
    <row r="13" spans="2:15"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</row>
    <row r="14" spans="2:15">
      <c r="B14" s="226"/>
      <c r="C14" s="226"/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551"/>
      <c r="O14" s="226"/>
    </row>
    <row r="15" spans="2:15"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551"/>
      <c r="O15" s="226"/>
    </row>
    <row r="16" spans="2:15">
      <c r="B16" s="226"/>
      <c r="C16" s="226"/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551"/>
      <c r="O16" s="226"/>
    </row>
    <row r="17" spans="14:14">
      <c r="N17" s="551"/>
    </row>
    <row r="18" spans="14:14">
      <c r="N18" s="551"/>
    </row>
    <row r="19" spans="14:14">
      <c r="N19" s="551"/>
    </row>
    <row r="20" spans="14:14">
      <c r="N20" s="551"/>
    </row>
    <row r="21" spans="14:14">
      <c r="N21" s="551"/>
    </row>
    <row r="22" spans="14:14">
      <c r="N22" s="551"/>
    </row>
  </sheetData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A48"/>
  <sheetViews>
    <sheetView workbookViewId="0">
      <selection activeCell="N30" sqref="N30"/>
    </sheetView>
  </sheetViews>
  <sheetFormatPr defaultColWidth="9" defaultRowHeight="15"/>
  <cols>
    <col min="1" max="1" width="3.625" customWidth="1"/>
    <col min="2" max="3" width="3.625" style="105" customWidth="1"/>
    <col min="4" max="4" width="8.375" style="105" bestFit="1" customWidth="1"/>
    <col min="5" max="5" width="28" style="105" bestFit="1" customWidth="1"/>
    <col min="6" max="7" width="3.625" style="105" customWidth="1"/>
    <col min="8" max="8" width="3.625" customWidth="1"/>
    <col min="9" max="10" width="3.625" style="105" customWidth="1"/>
    <col min="11" max="11" width="8.375" style="105" bestFit="1" customWidth="1"/>
    <col min="12" max="12" width="9.625" style="105" bestFit="1" customWidth="1"/>
    <col min="13" max="13" width="8.375" style="105" bestFit="1" customWidth="1"/>
    <col min="14" max="14" width="28" style="105" bestFit="1" customWidth="1"/>
    <col min="15" max="16" width="3.625" style="105" customWidth="1"/>
    <col min="17" max="17" width="3.625" style="107" customWidth="1"/>
    <col min="18" max="19" width="3.625" style="105" customWidth="1"/>
    <col min="20" max="20" width="6" style="106" customWidth="1"/>
    <col min="21" max="23" width="9.25" style="106" customWidth="1"/>
    <col min="24" max="28" width="3.625" customWidth="1"/>
    <col min="29" max="29" width="11.875" bestFit="1" customWidth="1"/>
    <col min="30" max="30" width="11.125" customWidth="1"/>
    <col min="31" max="32" width="10.125" customWidth="1"/>
    <col min="33" max="37" width="3.625" customWidth="1"/>
    <col min="38" max="38" width="11.875" bestFit="1" customWidth="1"/>
    <col min="39" max="39" width="9.625" customWidth="1"/>
    <col min="40" max="40" width="11" bestFit="1" customWidth="1"/>
    <col min="41" max="41" width="9.625" customWidth="1"/>
    <col min="42" max="45" width="3.625" customWidth="1"/>
    <col min="46" max="46" width="3.625" style="105" customWidth="1"/>
    <col min="47" max="47" width="6.5" style="105" bestFit="1" customWidth="1"/>
    <col min="48" max="49" width="12.25" style="105" bestFit="1" customWidth="1"/>
    <col min="50" max="50" width="13" style="105" bestFit="1" customWidth="1"/>
    <col min="51" max="51" width="10.125" style="105" customWidth="1"/>
    <col min="52" max="53" width="3.625" style="107" customWidth="1"/>
    <col min="54" max="54" width="3.625" style="105" customWidth="1"/>
    <col min="55" max="16384" width="9" style="105"/>
  </cols>
  <sheetData>
    <row r="2" spans="2:53">
      <c r="B2" s="5" t="s">
        <v>318</v>
      </c>
      <c r="C2" s="5"/>
      <c r="D2" s="733"/>
      <c r="E2" s="734"/>
      <c r="F2" s="734"/>
      <c r="G2" s="115"/>
      <c r="I2" s="5" t="s">
        <v>319</v>
      </c>
      <c r="J2" s="5"/>
      <c r="K2" s="733"/>
      <c r="L2" s="733"/>
      <c r="M2" s="733"/>
      <c r="N2" s="734"/>
      <c r="O2" s="734"/>
      <c r="P2" s="735"/>
      <c r="Q2" s="736"/>
      <c r="R2" s="5" t="s">
        <v>320</v>
      </c>
      <c r="S2" s="737"/>
      <c r="T2" s="737"/>
      <c r="U2" s="737"/>
      <c r="V2" s="737"/>
      <c r="W2" s="737"/>
      <c r="X2" s="737"/>
      <c r="Y2" s="738"/>
      <c r="AA2" s="5" t="s">
        <v>321</v>
      </c>
      <c r="AB2" s="737"/>
      <c r="AC2" s="737"/>
      <c r="AD2" s="737"/>
      <c r="AE2" s="737"/>
      <c r="AF2" s="737"/>
      <c r="AG2" s="737"/>
      <c r="AH2" s="738"/>
      <c r="AJ2" s="5" t="s">
        <v>322</v>
      </c>
      <c r="AK2" s="737"/>
      <c r="AL2" s="737"/>
      <c r="AM2" s="737"/>
      <c r="AN2" s="737"/>
      <c r="AO2" s="737"/>
      <c r="AP2" s="737"/>
      <c r="AQ2" s="738"/>
      <c r="AS2" s="5" t="s">
        <v>323</v>
      </c>
      <c r="AT2" s="5"/>
      <c r="AU2" s="737"/>
      <c r="AV2" s="737"/>
      <c r="AW2" s="737"/>
      <c r="AX2" s="737"/>
      <c r="AY2" s="737"/>
      <c r="AZ2" s="739"/>
      <c r="BA2" s="739"/>
    </row>
    <row r="3" spans="2:53">
      <c r="B3" s="5"/>
      <c r="C3" s="226"/>
      <c r="D3" s="226"/>
      <c r="E3" s="226"/>
      <c r="F3" s="226"/>
      <c r="G3" s="5"/>
      <c r="I3" s="5"/>
      <c r="J3" s="226"/>
      <c r="K3" s="226"/>
      <c r="L3" s="226"/>
      <c r="M3" s="226"/>
      <c r="N3" s="226"/>
      <c r="O3" s="226"/>
      <c r="P3" s="5"/>
      <c r="Q3" s="541"/>
      <c r="R3" s="240"/>
      <c r="S3" s="226"/>
      <c r="T3" s="226"/>
      <c r="U3" s="226"/>
      <c r="V3" s="226"/>
      <c r="W3" s="226"/>
      <c r="Y3" s="738"/>
      <c r="AA3" s="240"/>
      <c r="AB3" s="226"/>
      <c r="AH3" s="738"/>
      <c r="AJ3" s="240"/>
      <c r="AK3" s="226"/>
      <c r="AQ3" s="738"/>
      <c r="AS3" s="5"/>
      <c r="AT3" s="226"/>
      <c r="AU3" s="226"/>
      <c r="AV3" s="226"/>
      <c r="AW3" s="226"/>
      <c r="AX3" s="226"/>
      <c r="AY3" s="226"/>
      <c r="AZ3" s="541"/>
      <c r="BA3" s="240"/>
    </row>
    <row r="4" spans="2:53">
      <c r="B4" s="5"/>
      <c r="C4" s="226"/>
      <c r="D4" s="236" t="s">
        <v>324</v>
      </c>
      <c r="E4" s="238"/>
      <c r="F4" s="226"/>
      <c r="G4" s="5"/>
      <c r="I4" s="5"/>
      <c r="J4" s="226"/>
      <c r="K4" s="236" t="s">
        <v>324</v>
      </c>
      <c r="L4" s="237"/>
      <c r="M4" s="237"/>
      <c r="N4" s="238"/>
      <c r="O4" s="226"/>
      <c r="P4" s="5"/>
      <c r="Q4" s="541"/>
      <c r="R4" s="240"/>
      <c r="S4" s="226"/>
      <c r="T4" s="226"/>
      <c r="U4" s="236" t="s">
        <v>325</v>
      </c>
      <c r="V4" s="237"/>
      <c r="W4" s="238"/>
      <c r="Y4" s="738"/>
      <c r="AA4" s="240"/>
      <c r="AB4" s="226"/>
      <c r="AC4" s="236" t="s">
        <v>326</v>
      </c>
      <c r="AD4" s="740"/>
      <c r="AE4" s="740"/>
      <c r="AF4" s="741"/>
      <c r="AH4" s="738"/>
      <c r="AJ4" s="240"/>
      <c r="AK4" s="226"/>
      <c r="AL4" s="236" t="s">
        <v>326</v>
      </c>
      <c r="AM4" s="740"/>
      <c r="AN4" s="740"/>
      <c r="AO4" s="741"/>
      <c r="AQ4" s="738"/>
      <c r="AS4" s="5"/>
      <c r="AT4" s="226"/>
      <c r="AU4" s="108" t="str">
        <f>"Rate Schedule 17b for a "&amp;W6&amp;" kW Typical Customer below 200 kW"</f>
        <v>Rate Schedule 17b for a 150 kW Typical Customer below 200 kW</v>
      </c>
      <c r="AV4" s="2"/>
      <c r="AW4" s="2"/>
      <c r="AX4" s="2"/>
      <c r="AY4" s="1"/>
      <c r="AZ4" s="742"/>
      <c r="BA4" s="240"/>
    </row>
    <row r="5" spans="2:53">
      <c r="B5" s="5"/>
      <c r="C5" s="226"/>
      <c r="D5" s="661" t="s">
        <v>327</v>
      </c>
      <c r="E5" s="743" t="s">
        <v>4</v>
      </c>
      <c r="F5" s="226"/>
      <c r="G5" s="5"/>
      <c r="I5" s="5"/>
      <c r="J5" s="226"/>
      <c r="K5" s="242" t="s">
        <v>9</v>
      </c>
      <c r="L5" s="242" t="s">
        <v>328</v>
      </c>
      <c r="M5" s="661" t="s">
        <v>327</v>
      </c>
      <c r="N5" s="743" t="s">
        <v>4</v>
      </c>
      <c r="O5" s="226"/>
      <c r="P5" s="5"/>
      <c r="Q5" s="541"/>
      <c r="R5" s="240"/>
      <c r="S5" s="226"/>
      <c r="T5" s="226"/>
      <c r="U5" s="242" t="s">
        <v>329</v>
      </c>
      <c r="V5" s="242" t="s">
        <v>330</v>
      </c>
      <c r="W5" s="242" t="s">
        <v>331</v>
      </c>
      <c r="Y5" s="738"/>
      <c r="AA5" s="240"/>
      <c r="AB5" s="226"/>
      <c r="AC5" s="249"/>
      <c r="AD5" s="242">
        <v>2019</v>
      </c>
      <c r="AE5" s="242">
        <v>2020</v>
      </c>
      <c r="AF5" s="242">
        <v>2021</v>
      </c>
      <c r="AH5" s="738"/>
      <c r="AJ5" s="240"/>
      <c r="AK5" s="226"/>
      <c r="AL5" s="249"/>
      <c r="AM5" s="242">
        <v>2019</v>
      </c>
      <c r="AN5" s="242">
        <v>2020</v>
      </c>
      <c r="AO5" s="242">
        <v>2021</v>
      </c>
      <c r="AQ5" s="738"/>
      <c r="AS5" s="5"/>
      <c r="AT5" s="226"/>
      <c r="AU5" s="667" t="s">
        <v>36</v>
      </c>
      <c r="AV5" s="667" t="s">
        <v>9</v>
      </c>
      <c r="AW5" s="667" t="s">
        <v>327</v>
      </c>
      <c r="AX5" s="667" t="s">
        <v>332</v>
      </c>
      <c r="AY5" s="667" t="s">
        <v>333</v>
      </c>
      <c r="AZ5" s="742"/>
      <c r="BA5" s="240"/>
    </row>
    <row r="6" spans="2:53">
      <c r="B6" s="5"/>
      <c r="C6" s="226"/>
      <c r="D6" s="114">
        <f>'Rate Components'!D5</f>
        <v>0.31</v>
      </c>
      <c r="E6" s="542" t="s">
        <v>105</v>
      </c>
      <c r="F6" s="226"/>
      <c r="G6" s="5"/>
      <c r="I6" s="5"/>
      <c r="J6" s="226"/>
      <c r="K6" s="114">
        <f>D6</f>
        <v>0.31</v>
      </c>
      <c r="L6" s="114">
        <f>D6</f>
        <v>0.31</v>
      </c>
      <c r="M6" s="114">
        <f>D6</f>
        <v>0.31</v>
      </c>
      <c r="N6" s="542" t="s">
        <v>105</v>
      </c>
      <c r="O6" s="226"/>
      <c r="P6" s="5"/>
      <c r="Q6" s="541"/>
      <c r="R6" s="240"/>
      <c r="S6" s="226"/>
      <c r="T6" s="570" t="s">
        <v>11</v>
      </c>
      <c r="U6" s="225">
        <v>2200</v>
      </c>
      <c r="V6" s="224">
        <v>7.75</v>
      </c>
      <c r="W6" s="178">
        <v>150</v>
      </c>
      <c r="Y6" s="738"/>
      <c r="AA6" s="240"/>
      <c r="AB6" s="226"/>
      <c r="AC6" s="576" t="s">
        <v>334</v>
      </c>
      <c r="AD6" s="744">
        <f>AM6</f>
        <v>500</v>
      </c>
      <c r="AE6" s="744">
        <f>AN6</f>
        <v>750</v>
      </c>
      <c r="AF6" s="744">
        <f>AO6</f>
        <v>1000</v>
      </c>
      <c r="AH6" s="738"/>
      <c r="AJ6" s="240"/>
      <c r="AK6" s="226"/>
      <c r="AL6" s="576" t="s">
        <v>334</v>
      </c>
      <c r="AM6" s="109">
        <v>500</v>
      </c>
      <c r="AN6" s="109">
        <v>750</v>
      </c>
      <c r="AO6" s="109">
        <v>1000</v>
      </c>
      <c r="AQ6" s="738"/>
      <c r="AS6" s="5"/>
      <c r="AT6" s="226"/>
      <c r="AU6" s="290">
        <v>2019</v>
      </c>
      <c r="AV6" s="745">
        <f>AM18</f>
        <v>3.399257827588148E-2</v>
      </c>
      <c r="AW6" s="746">
        <f>AD18</f>
        <v>3.4327878795082659E-2</v>
      </c>
      <c r="AX6" s="747">
        <f>AW6-AV6</f>
        <v>3.3530051920117876E-4</v>
      </c>
      <c r="AY6" s="748">
        <f t="shared" ref="AY6:AY8" si="0">AX6/AVERAGE(AV6:AW6)</f>
        <v>9.8155233022783703E-3</v>
      </c>
      <c r="AZ6" s="742"/>
      <c r="BA6" s="240"/>
    </row>
    <row r="7" spans="2:53">
      <c r="B7" s="5"/>
      <c r="C7" s="226"/>
      <c r="D7" s="213">
        <f>RS17b_Base_Energy_Charge</f>
        <v>2.8067999999999999E-2</v>
      </c>
      <c r="E7" s="576" t="s">
        <v>106</v>
      </c>
      <c r="F7" s="226"/>
      <c r="G7" s="5"/>
      <c r="I7" s="5"/>
      <c r="J7" s="226"/>
      <c r="K7" s="213">
        <v>2.81E-2</v>
      </c>
      <c r="L7" s="213">
        <f>RS17b_Base_Energy_Charge</f>
        <v>2.8067999999999999E-2</v>
      </c>
      <c r="M7" s="213">
        <f>RS17b_Base_Energy_Charge</f>
        <v>2.8067999999999999E-2</v>
      </c>
      <c r="N7" s="576" t="s">
        <v>106</v>
      </c>
      <c r="O7" s="226"/>
      <c r="P7" s="5"/>
      <c r="Q7" s="541"/>
      <c r="R7" s="240"/>
      <c r="S7" s="226"/>
      <c r="T7" s="572" t="s">
        <v>335</v>
      </c>
      <c r="U7" s="210" cm="1">
        <f t="array" ref="U7">[4]!Expected_2020_17b_LF</f>
        <v>0.92851780801009542</v>
      </c>
      <c r="V7" s="749" cm="1">
        <f t="array" ref="V7">[4]!Expected_2020_17a_LF</f>
        <v>0.93376161807308322</v>
      </c>
      <c r="W7" s="749">
        <f>V7</f>
        <v>0.93376161807308322</v>
      </c>
      <c r="Y7" s="738"/>
      <c r="AA7" s="240"/>
      <c r="AB7" s="226"/>
      <c r="AC7" s="576" t="s">
        <v>21</v>
      </c>
      <c r="AD7" s="223">
        <f>'3 Year Graduated - &gt;200 kW'!N26</f>
        <v>2.2190000000000001E-2</v>
      </c>
      <c r="AE7" s="223">
        <f>'3 Year Graduated - &gt;200 kW'!N34</f>
        <v>1.3039E-2</v>
      </c>
      <c r="AF7" s="223">
        <f>'3 Year Graduated - &gt;200 kW'!N42</f>
        <v>3.888E-3</v>
      </c>
      <c r="AH7" s="738"/>
      <c r="AJ7" s="240"/>
      <c r="AK7" s="226"/>
      <c r="AL7" s="576" t="s">
        <v>21</v>
      </c>
      <c r="AM7" s="110">
        <v>2.2190000000000001E-2</v>
      </c>
      <c r="AN7" s="110">
        <v>2.4649999999999998E-2</v>
      </c>
      <c r="AO7" s="110">
        <v>3.5180000000000003E-2</v>
      </c>
      <c r="AQ7" s="738"/>
      <c r="AS7" s="5"/>
      <c r="AT7" s="226"/>
      <c r="AU7" s="750">
        <v>2020</v>
      </c>
      <c r="AV7" s="751">
        <f>AN18</f>
        <v>5.2681123405218515E-2</v>
      </c>
      <c r="AW7" s="751">
        <f>AE18</f>
        <v>4.1573074184020273E-2</v>
      </c>
      <c r="AX7" s="752">
        <f>AW7-AV7</f>
        <v>-1.1108049221198242E-2</v>
      </c>
      <c r="AY7" s="753">
        <f t="shared" si="0"/>
        <v>-0.23570407483828548</v>
      </c>
      <c r="AZ7" s="742"/>
      <c r="BA7" s="240"/>
    </row>
    <row r="8" spans="2:53">
      <c r="B8" s="5"/>
      <c r="C8" s="226"/>
      <c r="D8" s="214">
        <f>'Rate Components'!D7</f>
        <v>1.921E-3</v>
      </c>
      <c r="E8" s="576" t="s">
        <v>336</v>
      </c>
      <c r="F8" s="226"/>
      <c r="G8" s="5"/>
      <c r="I8" s="5"/>
      <c r="J8" s="226"/>
      <c r="K8" s="214">
        <v>1.9199999999999998E-2</v>
      </c>
      <c r="L8" s="214">
        <v>7.5000000000000002E-4</v>
      </c>
      <c r="M8" s="214">
        <f>'Rate Components'!D7</f>
        <v>1.921E-3</v>
      </c>
      <c r="N8" s="576" t="s">
        <v>336</v>
      </c>
      <c r="O8" s="226"/>
      <c r="P8" s="5"/>
      <c r="Q8" s="541"/>
      <c r="R8" s="240"/>
      <c r="S8" s="226"/>
      <c r="T8" s="572" t="s">
        <v>337</v>
      </c>
      <c r="U8" s="754">
        <f>U6*U7</f>
        <v>2042.73917762221</v>
      </c>
      <c r="V8" s="754">
        <f>V6*V7</f>
        <v>7.2366525400663946</v>
      </c>
      <c r="W8" s="754">
        <f>W6*W7</f>
        <v>140.06424271096247</v>
      </c>
      <c r="Y8" s="738"/>
      <c r="AA8" s="240"/>
      <c r="AB8" s="226"/>
      <c r="AC8" s="576" t="s">
        <v>10</v>
      </c>
      <c r="AD8" s="744">
        <f t="shared" ref="AD8:AF9" si="1">AM8</f>
        <v>8</v>
      </c>
      <c r="AE8" s="744">
        <f t="shared" si="1"/>
        <v>19</v>
      </c>
      <c r="AF8" s="744">
        <f t="shared" si="1"/>
        <v>30</v>
      </c>
      <c r="AH8" s="738"/>
      <c r="AJ8" s="240"/>
      <c r="AK8" s="226"/>
      <c r="AL8" s="576" t="s">
        <v>10</v>
      </c>
      <c r="AM8" s="109">
        <v>8</v>
      </c>
      <c r="AN8" s="109">
        <v>19</v>
      </c>
      <c r="AO8" s="109">
        <v>30</v>
      </c>
      <c r="AQ8" s="738"/>
      <c r="AS8" s="5"/>
      <c r="AT8" s="226"/>
      <c r="AU8" s="295">
        <v>2021</v>
      </c>
      <c r="AV8" s="755">
        <f>AO18</f>
        <v>7.943966853455553E-2</v>
      </c>
      <c r="AW8" s="755">
        <f>AF18</f>
        <v>4.8818269572957901E-2</v>
      </c>
      <c r="AX8" s="756">
        <f>AW8-AV8</f>
        <v>-3.0621398961597629E-2</v>
      </c>
      <c r="AY8" s="757">
        <f t="shared" si="0"/>
        <v>-0.47749713449983816</v>
      </c>
      <c r="AZ8" s="742"/>
      <c r="BA8" s="240"/>
    </row>
    <row r="9" spans="2:53">
      <c r="B9" s="5"/>
      <c r="C9" s="226"/>
      <c r="D9" s="215">
        <f>'Rate Components'!D8</f>
        <v>3.3649999999999999E-3</v>
      </c>
      <c r="E9" s="576" t="s">
        <v>109</v>
      </c>
      <c r="F9" s="226"/>
      <c r="G9" s="5"/>
      <c r="I9" s="5"/>
      <c r="J9" s="226"/>
      <c r="K9" s="215">
        <v>3.3999999999999998E-3</v>
      </c>
      <c r="L9" s="215">
        <v>3.3700000000000002E-3</v>
      </c>
      <c r="M9" s="215">
        <f>'Rate Components'!D8</f>
        <v>3.3649999999999999E-3</v>
      </c>
      <c r="N9" s="576" t="s">
        <v>109</v>
      </c>
      <c r="O9" s="226"/>
      <c r="P9" s="5"/>
      <c r="Q9" s="541"/>
      <c r="R9" s="240"/>
      <c r="S9" s="226"/>
      <c r="T9" s="574" t="s">
        <v>20</v>
      </c>
      <c r="U9" s="758">
        <f>8760*U8/12</f>
        <v>1491199.5996642134</v>
      </c>
      <c r="V9" s="758">
        <f>30.24*24*V8</f>
        <v>5252.0729474785867</v>
      </c>
      <c r="W9" s="758">
        <f>30.24*24*W8</f>
        <v>101653.02478990813</v>
      </c>
      <c r="Y9" s="738"/>
      <c r="AA9" s="240"/>
      <c r="AB9" s="226"/>
      <c r="AC9" s="548" t="s">
        <v>338</v>
      </c>
      <c r="AD9" s="759">
        <f t="shared" si="1"/>
        <v>0.75</v>
      </c>
      <c r="AE9" s="759">
        <f t="shared" si="1"/>
        <v>0.75</v>
      </c>
      <c r="AF9" s="759">
        <f t="shared" si="1"/>
        <v>0.75</v>
      </c>
      <c r="AH9" s="738"/>
      <c r="AJ9" s="240"/>
      <c r="AK9" s="226"/>
      <c r="AL9" s="548" t="s">
        <v>338</v>
      </c>
      <c r="AM9" s="113">
        <v>0.75</v>
      </c>
      <c r="AN9" s="113">
        <v>0.75</v>
      </c>
      <c r="AO9" s="113">
        <v>0.75</v>
      </c>
      <c r="AQ9" s="738"/>
      <c r="AS9" s="5"/>
      <c r="AT9" s="226"/>
      <c r="AU9" s="226"/>
      <c r="AV9" s="226"/>
      <c r="AW9" s="226"/>
      <c r="AX9" s="226"/>
      <c r="AY9" s="226"/>
      <c r="AZ9" s="742"/>
      <c r="BA9" s="240"/>
    </row>
    <row r="10" spans="2:53">
      <c r="B10" s="5"/>
      <c r="C10" s="226"/>
      <c r="D10" s="216">
        <f>'Rate Components'!D9</f>
        <v>3.9630000000000004E-3</v>
      </c>
      <c r="E10" s="576" t="s">
        <v>339</v>
      </c>
      <c r="F10" s="226"/>
      <c r="G10" s="5"/>
      <c r="I10" s="5"/>
      <c r="J10" s="226"/>
      <c r="K10" s="216">
        <v>1.0999999999999999E-2</v>
      </c>
      <c r="L10" s="216">
        <v>1.409E-2</v>
      </c>
      <c r="M10" s="216">
        <f>'Rate Components'!D9</f>
        <v>3.9630000000000004E-3</v>
      </c>
      <c r="N10" s="576" t="s">
        <v>339</v>
      </c>
      <c r="O10" s="226"/>
      <c r="P10" s="5"/>
      <c r="Q10" s="541"/>
      <c r="R10" s="240"/>
      <c r="S10" s="226"/>
      <c r="T10" s="112"/>
      <c r="U10" s="226"/>
      <c r="V10" s="226"/>
      <c r="W10" s="226"/>
      <c r="Y10" s="738"/>
      <c r="AA10" s="240"/>
      <c r="AB10" s="226"/>
      <c r="AC10" s="226"/>
      <c r="AD10" s="226"/>
      <c r="AE10" s="226"/>
      <c r="AH10" s="738"/>
      <c r="AJ10" s="240"/>
      <c r="AK10" s="226"/>
      <c r="AL10" s="226"/>
      <c r="AM10" s="226"/>
      <c r="AN10" s="226"/>
      <c r="AO10" s="226"/>
      <c r="AQ10" s="738"/>
      <c r="AS10" s="5"/>
      <c r="AT10" s="226"/>
      <c r="AU10" s="226"/>
      <c r="AV10" s="226"/>
      <c r="AW10" s="226"/>
      <c r="AX10" s="226"/>
      <c r="AY10" s="226"/>
      <c r="AZ10" s="742"/>
      <c r="BA10" s="240"/>
    </row>
    <row r="11" spans="2:53">
      <c r="B11" s="5"/>
      <c r="C11" s="226"/>
      <c r="D11" s="217">
        <f>'Rate Components'!D10</f>
        <v>1.1568E-2</v>
      </c>
      <c r="E11" s="548" t="s">
        <v>111</v>
      </c>
      <c r="F11" s="226"/>
      <c r="G11" s="5"/>
      <c r="I11" s="5"/>
      <c r="J11" s="226"/>
      <c r="K11" s="217">
        <v>1.9099999999999999E-2</v>
      </c>
      <c r="L11" s="217">
        <v>1.4330000000000001E-2</v>
      </c>
      <c r="M11" s="217">
        <f>'Rate Components'!D10</f>
        <v>1.1568E-2</v>
      </c>
      <c r="N11" s="548" t="s">
        <v>111</v>
      </c>
      <c r="O11" s="226"/>
      <c r="P11" s="5"/>
      <c r="Q11" s="541"/>
      <c r="R11" s="240"/>
      <c r="S11" s="240"/>
      <c r="T11" s="240"/>
      <c r="U11" s="240"/>
      <c r="V11" s="240"/>
      <c r="W11" s="240"/>
      <c r="X11" s="240"/>
      <c r="Y11" s="240"/>
      <c r="AA11" s="240"/>
      <c r="AB11" s="226"/>
      <c r="AC11" s="236" t="s">
        <v>340</v>
      </c>
      <c r="AD11" s="237"/>
      <c r="AE11" s="237"/>
      <c r="AF11" s="238"/>
      <c r="AH11" s="738"/>
      <c r="AJ11" s="240"/>
      <c r="AK11" s="226"/>
      <c r="AL11" s="236" t="s">
        <v>340</v>
      </c>
      <c r="AM11" s="237"/>
      <c r="AN11" s="237"/>
      <c r="AO11" s="238"/>
      <c r="AQ11" s="738"/>
      <c r="AS11" s="5"/>
      <c r="AT11" s="226"/>
      <c r="AU11" s="760" t="str">
        <f>"Rate Schedule 17a for a "&amp;W12&amp;" kW Typical Customer above 200 kW"</f>
        <v>Rate Schedule 17a for a  kW Typical Customer above 200 kW</v>
      </c>
      <c r="AV11" s="2"/>
      <c r="AW11" s="2"/>
      <c r="AX11" s="2"/>
      <c r="AY11" s="2"/>
      <c r="AZ11" s="742"/>
      <c r="BA11" s="240"/>
    </row>
    <row r="12" spans="2:53">
      <c r="B12" s="5"/>
      <c r="C12" s="226"/>
      <c r="D12" s="761">
        <f>SUM(D7:D11)</f>
        <v>4.8884999999999998E-2</v>
      </c>
      <c r="E12" s="189" t="s">
        <v>341</v>
      </c>
      <c r="F12" s="226"/>
      <c r="G12" s="5"/>
      <c r="I12" s="5"/>
      <c r="J12" s="226"/>
      <c r="K12" s="218">
        <f>SUM(K7:K11)</f>
        <v>8.0799999999999983E-2</v>
      </c>
      <c r="L12" s="218">
        <f>SUM(L7:L11)</f>
        <v>6.0608000000000002E-2</v>
      </c>
      <c r="M12" s="762">
        <f>SUM(M7:M11)</f>
        <v>4.8884999999999998E-2</v>
      </c>
      <c r="N12" s="189" t="s">
        <v>341</v>
      </c>
      <c r="O12" s="226"/>
      <c r="P12" s="5"/>
      <c r="Q12" s="541"/>
      <c r="R12" s="226"/>
      <c r="S12" s="226"/>
      <c r="T12" s="226"/>
      <c r="U12" s="226"/>
      <c r="V12" s="226"/>
      <c r="W12" s="226"/>
      <c r="AA12" s="240"/>
      <c r="AB12" s="226"/>
      <c r="AC12" s="249"/>
      <c r="AD12" s="242">
        <v>2019</v>
      </c>
      <c r="AE12" s="242">
        <v>2020</v>
      </c>
      <c r="AF12" s="242">
        <v>2021</v>
      </c>
      <c r="AH12" s="738"/>
      <c r="AJ12" s="240"/>
      <c r="AK12" s="226"/>
      <c r="AL12" s="249"/>
      <c r="AM12" s="242">
        <v>2019</v>
      </c>
      <c r="AN12" s="242">
        <v>2020</v>
      </c>
      <c r="AO12" s="242">
        <v>2021</v>
      </c>
      <c r="AQ12" s="738"/>
      <c r="AS12" s="5"/>
      <c r="AT12" s="226"/>
      <c r="AU12" s="667" t="s">
        <v>36</v>
      </c>
      <c r="AV12" s="763" t="s">
        <v>9</v>
      </c>
      <c r="AW12" s="763" t="s">
        <v>327</v>
      </c>
      <c r="AX12" s="667" t="s">
        <v>332</v>
      </c>
      <c r="AY12" s="667" t="s">
        <v>333</v>
      </c>
      <c r="AZ12" s="742"/>
      <c r="BA12" s="240"/>
    </row>
    <row r="13" spans="2:53">
      <c r="B13" s="5"/>
      <c r="C13" s="226"/>
      <c r="D13" s="226"/>
      <c r="E13" s="226"/>
      <c r="F13" s="226"/>
      <c r="G13" s="5"/>
      <c r="I13" s="5"/>
      <c r="J13" s="226"/>
      <c r="K13" s="226"/>
      <c r="L13" s="226"/>
      <c r="M13" s="226"/>
      <c r="N13" s="226"/>
      <c r="O13" s="226"/>
      <c r="P13" s="5"/>
      <c r="Q13" s="541"/>
      <c r="R13" s="226"/>
      <c r="S13" s="226"/>
      <c r="T13" s="226"/>
      <c r="U13" s="226"/>
      <c r="V13" s="226"/>
      <c r="W13" s="226"/>
      <c r="X13" s="226"/>
      <c r="Y13" s="226"/>
      <c r="AA13" s="240"/>
      <c r="AB13" s="226"/>
      <c r="AC13" s="576" t="s">
        <v>334</v>
      </c>
      <c r="AD13" s="744">
        <f>AD6</f>
        <v>500</v>
      </c>
      <c r="AE13" s="744">
        <f>AE6</f>
        <v>750</v>
      </c>
      <c r="AF13" s="744">
        <f>AF6</f>
        <v>1000</v>
      </c>
      <c r="AH13" s="738"/>
      <c r="AJ13" s="240"/>
      <c r="AK13" s="226"/>
      <c r="AL13" s="576" t="s">
        <v>334</v>
      </c>
      <c r="AM13" s="744">
        <f>AM19</f>
        <v>0</v>
      </c>
      <c r="AN13" s="744">
        <f>AN19</f>
        <v>0</v>
      </c>
      <c r="AO13" s="744">
        <f>AO19</f>
        <v>0</v>
      </c>
      <c r="AQ13" s="738"/>
      <c r="AS13" s="5"/>
      <c r="AT13" s="226"/>
      <c r="AU13" s="290">
        <v>2019</v>
      </c>
      <c r="AV13" s="745">
        <f>AM32</f>
        <v>5.4529186927888607E-2</v>
      </c>
      <c r="AW13" s="746">
        <f>AD32</f>
        <v>8.3507427184040028E-2</v>
      </c>
      <c r="AX13" s="747">
        <f>AW13-AV13</f>
        <v>2.8978240256151422E-2</v>
      </c>
      <c r="AY13" s="748">
        <f>AX13/AVERAGE(AV13:AW13)</f>
        <v>0.41986309853491582</v>
      </c>
      <c r="AZ13" s="742"/>
      <c r="BA13" s="240"/>
    </row>
    <row r="14" spans="2:53">
      <c r="B14" s="5"/>
      <c r="C14" s="226"/>
      <c r="D14" s="236" t="s">
        <v>342</v>
      </c>
      <c r="E14" s="238"/>
      <c r="F14" s="226"/>
      <c r="G14" s="5"/>
      <c r="I14" s="5"/>
      <c r="J14" s="226"/>
      <c r="K14" s="236" t="s">
        <v>342</v>
      </c>
      <c r="L14" s="237"/>
      <c r="M14" s="237"/>
      <c r="N14" s="238"/>
      <c r="O14" s="226"/>
      <c r="P14" s="5"/>
      <c r="Q14" s="541"/>
      <c r="R14" s="226"/>
      <c r="S14" s="226"/>
      <c r="T14" s="226"/>
      <c r="U14" s="226"/>
      <c r="V14" s="226"/>
      <c r="W14" s="226"/>
      <c r="X14" s="226"/>
      <c r="Y14" s="226"/>
      <c r="AA14" s="240"/>
      <c r="AB14" s="226"/>
      <c r="AC14" s="576" t="s">
        <v>21</v>
      </c>
      <c r="AD14" s="744">
        <f>AD7*$U$9</f>
        <v>33089.719116548898</v>
      </c>
      <c r="AE14" s="744">
        <f>AE7*$U$9</f>
        <v>19443.751580021679</v>
      </c>
      <c r="AF14" s="744">
        <f>AF7*$U$9</f>
        <v>5797.7840434944619</v>
      </c>
      <c r="AH14" s="738"/>
      <c r="AJ14" s="240"/>
      <c r="AK14" s="226"/>
      <c r="AL14" s="576" t="s">
        <v>21</v>
      </c>
      <c r="AM14" s="744">
        <f>AM7*$U$9</f>
        <v>33089.719116548898</v>
      </c>
      <c r="AN14" s="744">
        <f>AN7*$U$9</f>
        <v>36758.07013172286</v>
      </c>
      <c r="AO14" s="744">
        <f>AO7*$U$9</f>
        <v>52460.401916187031</v>
      </c>
      <c r="AQ14" s="738"/>
      <c r="AS14" s="5"/>
      <c r="AT14" s="226"/>
      <c r="AU14" s="750">
        <v>2020</v>
      </c>
      <c r="AV14" s="751">
        <f>AN32</f>
        <v>8.1723780391832909E-2</v>
      </c>
      <c r="AW14" s="751">
        <f>AE32</f>
        <v>0.11902371601535949</v>
      </c>
      <c r="AX14" s="752">
        <f>AW14-AV14</f>
        <v>3.7299935623526584E-2</v>
      </c>
      <c r="AY14" s="753">
        <f t="shared" ref="AY14:AY15" si="2">AX14/AVERAGE(AV14:AW14)</f>
        <v>0.37161046878381088</v>
      </c>
      <c r="AZ14" s="742"/>
      <c r="BA14" s="240"/>
    </row>
    <row r="15" spans="2:53">
      <c r="B15" s="5"/>
      <c r="C15" s="226"/>
      <c r="D15" s="661" t="s">
        <v>327</v>
      </c>
      <c r="E15" s="743" t="s">
        <v>4</v>
      </c>
      <c r="F15" s="226"/>
      <c r="G15" s="5"/>
      <c r="I15" s="5"/>
      <c r="J15" s="226"/>
      <c r="K15" s="242" t="s">
        <v>9</v>
      </c>
      <c r="L15" s="242" t="s">
        <v>328</v>
      </c>
      <c r="M15" s="661" t="s">
        <v>327</v>
      </c>
      <c r="N15" s="743" t="s">
        <v>4</v>
      </c>
      <c r="O15" s="226"/>
      <c r="P15" s="5"/>
      <c r="Q15" s="541"/>
      <c r="R15" s="226"/>
      <c r="S15" s="226"/>
      <c r="T15" s="226"/>
      <c r="U15" s="226"/>
      <c r="V15" s="226"/>
      <c r="W15" s="226"/>
      <c r="AA15" s="240"/>
      <c r="AB15" s="226"/>
      <c r="AC15" s="576" t="s">
        <v>10</v>
      </c>
      <c r="AD15" s="744">
        <f>$U$6*AD8</f>
        <v>17600</v>
      </c>
      <c r="AE15" s="744">
        <f>$U$6*AE8</f>
        <v>41800</v>
      </c>
      <c r="AF15" s="744">
        <f>$U$6*AF8</f>
        <v>66000</v>
      </c>
      <c r="AH15" s="738"/>
      <c r="AJ15" s="240"/>
      <c r="AK15" s="226"/>
      <c r="AL15" s="576" t="s">
        <v>10</v>
      </c>
      <c r="AM15" s="744">
        <f>$U$6*AM8</f>
        <v>17600</v>
      </c>
      <c r="AN15" s="744">
        <f>$U$6*AN8</f>
        <v>41800</v>
      </c>
      <c r="AO15" s="744">
        <f>$U$6*AO8</f>
        <v>66000</v>
      </c>
      <c r="AQ15" s="738"/>
      <c r="AS15" s="5"/>
      <c r="AT15" s="226"/>
      <c r="AU15" s="295">
        <v>2021</v>
      </c>
      <c r="AV15" s="755">
        <f>AO32</f>
        <v>0.12218837385577722</v>
      </c>
      <c r="AW15" s="755">
        <f>AF32</f>
        <v>0.15453962588608688</v>
      </c>
      <c r="AX15" s="756">
        <f>AW15-AV15</f>
        <v>3.2351252030309668E-2</v>
      </c>
      <c r="AY15" s="757">
        <f t="shared" si="2"/>
        <v>0.23381263956294543</v>
      </c>
      <c r="AZ15" s="764"/>
      <c r="BA15" s="240"/>
    </row>
    <row r="16" spans="2:53">
      <c r="B16" s="5"/>
      <c r="C16" s="226"/>
      <c r="D16" s="114">
        <f>'Rate Components'!G5</f>
        <v>0.31</v>
      </c>
      <c r="E16" s="542" t="s">
        <v>105</v>
      </c>
      <c r="F16" s="226"/>
      <c r="G16" s="5"/>
      <c r="I16" s="5"/>
      <c r="J16" s="226"/>
      <c r="K16" s="114">
        <f>D6</f>
        <v>0.31</v>
      </c>
      <c r="L16" s="114">
        <f>D6</f>
        <v>0.31</v>
      </c>
      <c r="M16" s="114">
        <f>D6</f>
        <v>0.31</v>
      </c>
      <c r="N16" s="542" t="s">
        <v>105</v>
      </c>
      <c r="O16" s="226"/>
      <c r="P16" s="5"/>
      <c r="Q16" s="541"/>
      <c r="R16" s="226"/>
      <c r="S16" s="226"/>
      <c r="T16" s="226"/>
      <c r="U16" s="226"/>
      <c r="V16" s="226"/>
      <c r="W16" s="226"/>
      <c r="AA16" s="240"/>
      <c r="AB16" s="226"/>
      <c r="AC16" s="548" t="s">
        <v>338</v>
      </c>
      <c r="AD16" s="765">
        <f>AD9*AD17</f>
        <v>38392.289337411676</v>
      </c>
      <c r="AE16" s="765">
        <f>AE9*AE17</f>
        <v>46495.313685016255</v>
      </c>
      <c r="AF16" s="765">
        <f>AF9*AF17</f>
        <v>54598.33803262085</v>
      </c>
      <c r="AH16" s="738"/>
      <c r="AJ16" s="240"/>
      <c r="AK16" s="226"/>
      <c r="AL16" s="548" t="s">
        <v>338</v>
      </c>
      <c r="AM16" s="765">
        <f>AM9*AM17</f>
        <v>38017.289337411676</v>
      </c>
      <c r="AN16" s="765">
        <f>AN9*AN17</f>
        <v>58918.55259879215</v>
      </c>
      <c r="AO16" s="765">
        <f>AO9*AO17</f>
        <v>88845.301437140268</v>
      </c>
      <c r="AQ16" s="738"/>
      <c r="AS16" s="5"/>
      <c r="AT16" s="226"/>
      <c r="AU16" s="226"/>
      <c r="AV16" s="226"/>
      <c r="AW16" s="226"/>
      <c r="AX16" s="226"/>
      <c r="AY16" s="226"/>
      <c r="AZ16" s="764"/>
      <c r="BA16" s="240"/>
    </row>
    <row r="17" spans="2:53">
      <c r="B17" s="5"/>
      <c r="C17" s="226"/>
      <c r="D17" s="219">
        <f>RS17a_Base_Energy_Charge</f>
        <v>6.3100000000000003E-2</v>
      </c>
      <c r="E17" s="576" t="s">
        <v>107</v>
      </c>
      <c r="F17" s="226"/>
      <c r="G17" s="5"/>
      <c r="I17" s="5"/>
      <c r="J17" s="226"/>
      <c r="K17" s="219">
        <v>6.0699999999999997E-2</v>
      </c>
      <c r="L17" s="219">
        <f>RS17a_Base_Energy_Charge</f>
        <v>6.3100000000000003E-2</v>
      </c>
      <c r="M17" s="219">
        <f>RS17a_Base_Energy_Charge</f>
        <v>6.3100000000000003E-2</v>
      </c>
      <c r="N17" s="576" t="s">
        <v>107</v>
      </c>
      <c r="O17" s="226"/>
      <c r="P17" s="5"/>
      <c r="Q17" s="541"/>
      <c r="R17" s="226"/>
      <c r="S17" s="226"/>
      <c r="T17" s="226"/>
      <c r="U17" s="226"/>
      <c r="V17" s="226"/>
      <c r="W17" s="226"/>
      <c r="AA17" s="240"/>
      <c r="AB17" s="226"/>
      <c r="AC17" s="595" t="s">
        <v>45</v>
      </c>
      <c r="AD17" s="766">
        <f>SUM(AD13:AD15)</f>
        <v>51189.719116548898</v>
      </c>
      <c r="AE17" s="766">
        <f>SUM(AE13:AE15)</f>
        <v>61993.751580021679</v>
      </c>
      <c r="AF17" s="766">
        <f>SUM(AF13:AF15)</f>
        <v>72797.784043494466</v>
      </c>
      <c r="AH17" s="738"/>
      <c r="AJ17" s="240"/>
      <c r="AK17" s="226"/>
      <c r="AL17" s="595" t="s">
        <v>45</v>
      </c>
      <c r="AM17" s="766">
        <f>SUM(AM13:AM15)</f>
        <v>50689.719116548898</v>
      </c>
      <c r="AN17" s="766">
        <f>SUM(AN13:AN15)</f>
        <v>78558.070131722867</v>
      </c>
      <c r="AO17" s="766">
        <f>SUM(AO13:AO15)</f>
        <v>118460.40191618702</v>
      </c>
      <c r="AQ17" s="738"/>
      <c r="AS17" s="5"/>
      <c r="AT17" s="5"/>
      <c r="AU17" s="5"/>
      <c r="AV17" s="5"/>
      <c r="AW17" s="5"/>
      <c r="AX17" s="5"/>
      <c r="AY17" s="5"/>
      <c r="AZ17" s="5"/>
      <c r="BA17" s="240"/>
    </row>
    <row r="18" spans="2:53">
      <c r="B18" s="5"/>
      <c r="C18" s="226"/>
      <c r="D18" s="214">
        <f>'Rate Components'!G7</f>
        <v>1.921E-3</v>
      </c>
      <c r="E18" s="576" t="s">
        <v>343</v>
      </c>
      <c r="F18" s="226"/>
      <c r="G18" s="5"/>
      <c r="I18" s="5"/>
      <c r="J18" s="226"/>
      <c r="K18" s="214">
        <v>1.9199999999999998E-2</v>
      </c>
      <c r="L18" s="214">
        <f>L8</f>
        <v>7.5000000000000002E-4</v>
      </c>
      <c r="M18" s="214">
        <f>'Rate Components'!G7</f>
        <v>1.921E-3</v>
      </c>
      <c r="N18" s="576" t="s">
        <v>343</v>
      </c>
      <c r="O18" s="226"/>
      <c r="P18" s="5"/>
      <c r="Q18" s="541"/>
      <c r="R18" s="226"/>
      <c r="S18" s="226"/>
      <c r="T18" s="226"/>
      <c r="U18" s="226"/>
      <c r="V18" s="226"/>
      <c r="W18" s="226"/>
      <c r="AA18" s="240"/>
      <c r="AB18" s="226"/>
      <c r="AC18" s="595" t="s">
        <v>83</v>
      </c>
      <c r="AD18" s="767">
        <f>AD17/$U$9</f>
        <v>3.4327878795082659E-2</v>
      </c>
      <c r="AE18" s="767">
        <f>AE17/$U$9</f>
        <v>4.1573074184020273E-2</v>
      </c>
      <c r="AF18" s="767">
        <f>AF17/$U$9</f>
        <v>4.8818269572957901E-2</v>
      </c>
      <c r="AH18" s="738"/>
      <c r="AJ18" s="240"/>
      <c r="AK18" s="226"/>
      <c r="AL18" s="595" t="s">
        <v>83</v>
      </c>
      <c r="AM18" s="767">
        <f>AM17/U9</f>
        <v>3.399257827588148E-2</v>
      </c>
      <c r="AN18" s="767">
        <f>AN17/U9</f>
        <v>5.2681123405218515E-2</v>
      </c>
      <c r="AO18" s="767">
        <f>AO17/U9</f>
        <v>7.943966853455553E-2</v>
      </c>
      <c r="AQ18" s="738"/>
      <c r="AT18" s="226"/>
      <c r="AU18" s="226"/>
      <c r="AV18" s="226"/>
      <c r="AW18" s="226"/>
      <c r="AX18" s="226"/>
      <c r="AY18" s="226"/>
      <c r="AZ18" s="768"/>
      <c r="BA18" s="551"/>
    </row>
    <row r="19" spans="2:53">
      <c r="B19" s="5"/>
      <c r="C19" s="226"/>
      <c r="D19" s="215">
        <f>'Rate Components'!G8</f>
        <v>3.3649999999999999E-3</v>
      </c>
      <c r="E19" s="576" t="s">
        <v>109</v>
      </c>
      <c r="F19" s="226"/>
      <c r="G19" s="5"/>
      <c r="I19" s="5"/>
      <c r="J19" s="226"/>
      <c r="K19" s="215">
        <v>3.3999999999999998E-3</v>
      </c>
      <c r="L19" s="215">
        <f>L9</f>
        <v>3.3700000000000002E-3</v>
      </c>
      <c r="M19" s="215">
        <f>'Rate Components'!G8</f>
        <v>3.3649999999999999E-3</v>
      </c>
      <c r="N19" s="576" t="s">
        <v>109</v>
      </c>
      <c r="O19" s="226"/>
      <c r="P19" s="5"/>
      <c r="Q19" s="541"/>
      <c r="R19" s="226"/>
      <c r="S19" s="226"/>
      <c r="T19" s="226"/>
      <c r="U19" s="226"/>
      <c r="V19" s="226"/>
      <c r="W19" s="226"/>
      <c r="AA19" s="240"/>
      <c r="AB19" s="226"/>
      <c r="AC19" s="226"/>
      <c r="AD19" s="226"/>
      <c r="AE19" s="226"/>
      <c r="AF19" s="226"/>
      <c r="AH19" s="738"/>
      <c r="AJ19" s="240"/>
      <c r="AK19" s="226"/>
      <c r="AL19" s="226"/>
      <c r="AM19" s="226"/>
      <c r="AN19" s="226"/>
      <c r="AO19" s="226"/>
      <c r="AQ19" s="738"/>
      <c r="AT19" s="769"/>
      <c r="AU19" s="226"/>
      <c r="AV19" s="226"/>
      <c r="AW19" s="226"/>
      <c r="AX19" s="226"/>
      <c r="AY19" s="226"/>
      <c r="AZ19" s="768"/>
      <c r="BA19" s="551"/>
    </row>
    <row r="20" spans="2:53">
      <c r="B20" s="5"/>
      <c r="C20" s="226"/>
      <c r="D20" s="216">
        <f>'Rate Components'!G9</f>
        <v>1.6836E-2</v>
      </c>
      <c r="E20" s="576" t="s">
        <v>344</v>
      </c>
      <c r="F20" s="226"/>
      <c r="G20" s="5"/>
      <c r="I20" s="5"/>
      <c r="J20" s="226"/>
      <c r="K20" s="216">
        <v>2.2200000000000001E-2</v>
      </c>
      <c r="L20" s="216">
        <f>L10</f>
        <v>1.409E-2</v>
      </c>
      <c r="M20" s="216">
        <f>'Rate Components'!G9</f>
        <v>1.6836E-2</v>
      </c>
      <c r="N20" s="576" t="s">
        <v>339</v>
      </c>
      <c r="O20" s="226"/>
      <c r="P20" s="5"/>
      <c r="Q20" s="541"/>
      <c r="R20" s="226"/>
      <c r="S20" s="226"/>
      <c r="T20" s="226"/>
      <c r="U20" s="226"/>
      <c r="V20" s="226"/>
      <c r="W20" s="226"/>
      <c r="AA20" s="240"/>
      <c r="AB20" s="226"/>
      <c r="AC20" s="236" t="s">
        <v>345</v>
      </c>
      <c r="AD20" s="237"/>
      <c r="AE20" s="237"/>
      <c r="AF20" s="238"/>
      <c r="AH20" s="738"/>
      <c r="AJ20" s="240"/>
      <c r="AK20" s="226"/>
      <c r="AL20" s="236" t="s">
        <v>345</v>
      </c>
      <c r="AM20" s="237"/>
      <c r="AN20" s="237"/>
      <c r="AO20" s="238"/>
      <c r="AQ20" s="738"/>
      <c r="AT20" s="769"/>
      <c r="AU20" s="226"/>
      <c r="AV20" s="226"/>
      <c r="AW20" s="226"/>
      <c r="AX20" s="226"/>
      <c r="AY20" s="226"/>
      <c r="AZ20" s="768"/>
      <c r="BA20" s="551"/>
    </row>
    <row r="21" spans="2:53">
      <c r="B21" s="5"/>
      <c r="C21" s="226"/>
      <c r="D21" s="217">
        <f>'Rate Components'!G10</f>
        <v>2.6419000000000002E-2</v>
      </c>
      <c r="E21" s="548" t="s">
        <v>111</v>
      </c>
      <c r="F21" s="226"/>
      <c r="G21" s="5"/>
      <c r="I21" s="5"/>
      <c r="J21" s="226"/>
      <c r="K21" s="217">
        <v>3.27E-2</v>
      </c>
      <c r="L21" s="217">
        <v>2.5190000000000001E-2</v>
      </c>
      <c r="M21" s="217">
        <f>'Rate Components'!G10</f>
        <v>2.6419000000000002E-2</v>
      </c>
      <c r="N21" s="548" t="s">
        <v>111</v>
      </c>
      <c r="O21" s="226"/>
      <c r="P21" s="5"/>
      <c r="Q21" s="541"/>
      <c r="R21" s="226"/>
      <c r="S21" s="226"/>
      <c r="T21" s="226"/>
      <c r="U21" s="226"/>
      <c r="V21" s="226"/>
      <c r="W21" s="226"/>
      <c r="AA21" s="240"/>
      <c r="AB21" s="226"/>
      <c r="AC21" s="249"/>
      <c r="AD21" s="242">
        <v>2019</v>
      </c>
      <c r="AE21" s="242">
        <v>2020</v>
      </c>
      <c r="AF21" s="242">
        <v>2021</v>
      </c>
      <c r="AH21" s="738"/>
      <c r="AJ21" s="240"/>
      <c r="AK21" s="226"/>
      <c r="AL21" s="249"/>
      <c r="AM21" s="242">
        <v>2019</v>
      </c>
      <c r="AN21" s="242">
        <v>2020</v>
      </c>
      <c r="AO21" s="242">
        <v>2021</v>
      </c>
      <c r="AQ21" s="738"/>
      <c r="AT21" s="226"/>
      <c r="AU21" s="226"/>
      <c r="AV21" s="767"/>
      <c r="AW21" s="767"/>
      <c r="AX21" s="226"/>
      <c r="AY21" s="226"/>
      <c r="AZ21" s="742"/>
      <c r="BA21" s="551"/>
    </row>
    <row r="22" spans="2:53">
      <c r="B22" s="5"/>
      <c r="C22" s="226"/>
      <c r="D22" s="761">
        <f>SUM(D17:D21)</f>
        <v>0.111641</v>
      </c>
      <c r="E22" s="189" t="s">
        <v>341</v>
      </c>
      <c r="F22" s="226"/>
      <c r="G22" s="5"/>
      <c r="I22" s="5"/>
      <c r="J22" s="226"/>
      <c r="K22" s="218">
        <f>SUM(K17:K21)</f>
        <v>0.13819999999999999</v>
      </c>
      <c r="L22" s="218">
        <f>SUM(L17:L21)</f>
        <v>0.10650000000000001</v>
      </c>
      <c r="M22" s="762">
        <f>SUM(M17:M21)</f>
        <v>0.111641</v>
      </c>
      <c r="N22" s="189" t="s">
        <v>341</v>
      </c>
      <c r="O22" s="226"/>
      <c r="P22" s="5"/>
      <c r="Q22" s="541"/>
      <c r="R22" s="226"/>
      <c r="S22" s="226"/>
      <c r="T22" s="226"/>
      <c r="U22" s="226"/>
      <c r="V22" s="226"/>
      <c r="W22" s="226"/>
      <c r="AA22" s="240"/>
      <c r="AB22" s="226"/>
      <c r="AC22" s="576" t="s">
        <v>346</v>
      </c>
      <c r="AD22" s="770">
        <f>AM22</f>
        <v>5</v>
      </c>
      <c r="AE22" s="770">
        <f>AN22</f>
        <v>7.5</v>
      </c>
      <c r="AF22" s="770">
        <f>AO22</f>
        <v>10</v>
      </c>
      <c r="AH22" s="738"/>
      <c r="AJ22" s="240"/>
      <c r="AK22" s="226"/>
      <c r="AL22" s="576" t="s">
        <v>346</v>
      </c>
      <c r="AM22" s="109">
        <v>5</v>
      </c>
      <c r="AN22" s="109">
        <v>7.5</v>
      </c>
      <c r="AO22" s="109">
        <v>10</v>
      </c>
      <c r="AQ22" s="738"/>
      <c r="AT22" s="226"/>
      <c r="AU22" s="226"/>
      <c r="AV22" s="767"/>
      <c r="AW22" s="767"/>
      <c r="AX22" s="226"/>
      <c r="AY22" s="226"/>
      <c r="AZ22" s="742"/>
      <c r="BA22" s="551"/>
    </row>
    <row r="23" spans="2:53">
      <c r="B23" s="5"/>
      <c r="C23" s="226"/>
      <c r="D23" s="761"/>
      <c r="E23" s="226"/>
      <c r="F23" s="226"/>
      <c r="G23" s="5"/>
      <c r="I23" s="5"/>
      <c r="J23" s="226"/>
      <c r="K23" s="226"/>
      <c r="L23" s="226"/>
      <c r="M23" s="226"/>
      <c r="N23" s="226"/>
      <c r="O23" s="226"/>
      <c r="P23" s="5"/>
      <c r="Q23" s="541"/>
      <c r="R23" s="226"/>
      <c r="S23" s="226"/>
      <c r="T23" s="226"/>
      <c r="U23" s="226"/>
      <c r="V23" s="226"/>
      <c r="W23" s="226"/>
      <c r="AA23" s="240"/>
      <c r="AB23" s="226"/>
      <c r="AC23" s="576" t="s">
        <v>21</v>
      </c>
      <c r="AD23" s="222">
        <f>'3 Year Graduated -&lt;200kW'!N26</f>
        <v>5.455060673348907E-2</v>
      </c>
      <c r="AE23" s="223">
        <f>'3 Year Graduated -&lt;200kW'!N34</f>
        <v>7.5588485339533079E-2</v>
      </c>
      <c r="AF23" s="223">
        <f>'3 Year Graduated -&lt;200kW'!N42</f>
        <v>9.6625984984984994E-2</v>
      </c>
      <c r="AH23" s="738"/>
      <c r="AJ23" s="240"/>
      <c r="AK23" s="226"/>
      <c r="AL23" s="576" t="s">
        <v>21</v>
      </c>
      <c r="AM23" s="110">
        <v>5.4480000000000001E-2</v>
      </c>
      <c r="AN23" s="110">
        <v>8.165E-2</v>
      </c>
      <c r="AO23" s="110">
        <v>0.12209</v>
      </c>
      <c r="AQ23" s="738"/>
      <c r="AT23" s="226"/>
      <c r="AU23"/>
      <c r="AV23"/>
      <c r="AW23"/>
      <c r="AX23"/>
      <c r="AY23"/>
      <c r="AZ23" s="764"/>
      <c r="BA23" s="551"/>
    </row>
    <row r="24" spans="2:53">
      <c r="B24" s="5"/>
      <c r="C24" s="5"/>
      <c r="D24" s="5"/>
      <c r="E24" s="5"/>
      <c r="F24" s="5"/>
      <c r="G24" s="5"/>
      <c r="I24" s="5"/>
      <c r="J24" s="5"/>
      <c r="K24" s="5"/>
      <c r="L24" s="5"/>
      <c r="M24" s="5"/>
      <c r="N24" s="5"/>
      <c r="O24" s="5"/>
      <c r="P24" s="5"/>
      <c r="Q24" s="541"/>
      <c r="R24" s="226"/>
      <c r="S24" s="226"/>
      <c r="T24" s="226"/>
      <c r="U24" s="226"/>
      <c r="V24" s="226"/>
      <c r="W24" s="226"/>
      <c r="AA24" s="240"/>
      <c r="AB24" s="226"/>
      <c r="AC24" s="548" t="s">
        <v>338</v>
      </c>
      <c r="AD24" s="765">
        <f>AM24</f>
        <v>5</v>
      </c>
      <c r="AE24" s="765">
        <f>AN24</f>
        <v>7.5</v>
      </c>
      <c r="AF24" s="765">
        <f>AO24</f>
        <v>10</v>
      </c>
      <c r="AH24" s="738"/>
      <c r="AJ24" s="240"/>
      <c r="AK24" s="226"/>
      <c r="AL24" s="548" t="s">
        <v>338</v>
      </c>
      <c r="AM24" s="111">
        <v>5</v>
      </c>
      <c r="AN24" s="111">
        <v>7.5</v>
      </c>
      <c r="AO24" s="111">
        <v>10</v>
      </c>
      <c r="AQ24" s="738"/>
      <c r="AT24" s="226"/>
      <c r="AU24" s="226"/>
      <c r="AV24" s="226"/>
      <c r="AW24" s="226"/>
      <c r="AX24" s="226"/>
      <c r="AY24" s="226"/>
      <c r="AZ24" s="764"/>
      <c r="BA24" s="551"/>
    </row>
    <row r="25" spans="2:53">
      <c r="B25" s="226"/>
      <c r="C25" s="226"/>
      <c r="D25" s="226"/>
      <c r="E25" s="226"/>
      <c r="F25" s="226"/>
      <c r="G25" s="226"/>
      <c r="I25" s="226"/>
      <c r="J25" s="226"/>
      <c r="K25" s="226"/>
      <c r="L25" s="226"/>
      <c r="M25" s="226"/>
      <c r="N25" s="226"/>
      <c r="O25" s="226"/>
      <c r="P25" s="226"/>
      <c r="Q25" s="541"/>
      <c r="R25" s="226"/>
      <c r="S25" s="226"/>
      <c r="T25" s="226"/>
      <c r="U25" s="226"/>
      <c r="V25" s="226"/>
      <c r="W25" s="226"/>
      <c r="AA25" s="240"/>
      <c r="AH25" s="738"/>
      <c r="AJ25" s="240"/>
      <c r="AQ25" s="738"/>
      <c r="AT25" s="226"/>
      <c r="AU25" s="226"/>
      <c r="AV25" s="226"/>
      <c r="AW25" s="226"/>
      <c r="AX25" s="226"/>
      <c r="AY25" s="226"/>
      <c r="AZ25" s="552"/>
      <c r="BA25" s="551"/>
    </row>
    <row r="26" spans="2:53">
      <c r="B26" s="226"/>
      <c r="C26" s="226"/>
      <c r="D26" s="226"/>
      <c r="E26" s="226"/>
      <c r="F26" s="226"/>
      <c r="G26" s="226"/>
      <c r="I26" s="226"/>
      <c r="J26" s="226"/>
      <c r="K26" s="226"/>
      <c r="L26" s="226"/>
      <c r="M26" s="226"/>
      <c r="N26" s="226"/>
      <c r="O26" s="226"/>
      <c r="P26" s="226"/>
      <c r="Q26" s="541"/>
      <c r="R26" s="226"/>
      <c r="S26" s="226"/>
      <c r="T26" s="226"/>
      <c r="U26" s="226"/>
      <c r="V26" s="226"/>
      <c r="W26" s="226"/>
      <c r="AA26" s="240"/>
      <c r="AB26" s="226"/>
      <c r="AC26" s="236" t="s">
        <v>347</v>
      </c>
      <c r="AD26" s="237"/>
      <c r="AE26" s="237"/>
      <c r="AF26" s="238"/>
      <c r="AH26" s="738"/>
      <c r="AJ26" s="240"/>
      <c r="AK26" s="226"/>
      <c r="AL26" s="236" t="s">
        <v>347</v>
      </c>
      <c r="AM26" s="237"/>
      <c r="AN26" s="237"/>
      <c r="AO26" s="238"/>
      <c r="AQ26" s="738"/>
      <c r="AT26" s="226"/>
      <c r="AU26" s="226"/>
      <c r="AV26" s="226"/>
      <c r="AW26" s="226"/>
      <c r="AX26" s="226"/>
      <c r="AY26" s="226"/>
      <c r="AZ26" s="768"/>
      <c r="BA26" s="551"/>
    </row>
    <row r="27" spans="2:53">
      <c r="B27" s="226"/>
      <c r="C27" s="226"/>
      <c r="D27" s="226"/>
      <c r="E27" s="226"/>
      <c r="F27" s="226"/>
      <c r="G27" s="226"/>
      <c r="I27" s="226"/>
      <c r="J27" s="226"/>
      <c r="K27" s="226"/>
      <c r="L27" s="226"/>
      <c r="M27" s="226"/>
      <c r="N27" s="226"/>
      <c r="O27" s="226"/>
      <c r="P27" s="226"/>
      <c r="Q27" s="541"/>
      <c r="R27" s="226"/>
      <c r="S27" s="226"/>
      <c r="T27" s="226"/>
      <c r="U27" s="226"/>
      <c r="V27" s="226"/>
      <c r="W27" s="226"/>
      <c r="AA27" s="240"/>
      <c r="AB27" s="226"/>
      <c r="AC27" s="249"/>
      <c r="AD27" s="242">
        <v>2019</v>
      </c>
      <c r="AE27" s="242">
        <v>2020</v>
      </c>
      <c r="AF27" s="242">
        <v>2021</v>
      </c>
      <c r="AH27" s="738"/>
      <c r="AJ27" s="240"/>
      <c r="AK27" s="226"/>
      <c r="AL27" s="249"/>
      <c r="AM27" s="242">
        <v>2019</v>
      </c>
      <c r="AN27" s="242">
        <v>2020</v>
      </c>
      <c r="AO27" s="242">
        <v>2021</v>
      </c>
      <c r="AQ27" s="738"/>
      <c r="AT27" s="226"/>
      <c r="AU27" s="226"/>
      <c r="AV27" s="226"/>
      <c r="AW27" s="226"/>
      <c r="AX27" s="226"/>
      <c r="AY27" s="226"/>
      <c r="AZ27" s="768"/>
      <c r="BA27" s="551"/>
    </row>
    <row r="28" spans="2:53">
      <c r="B28" s="226"/>
      <c r="C28" s="226"/>
      <c r="D28" s="226"/>
      <c r="E28" s="226"/>
      <c r="F28" s="226"/>
      <c r="G28" s="226"/>
      <c r="I28" s="226"/>
      <c r="J28" s="226"/>
      <c r="K28" s="226"/>
      <c r="L28" s="226"/>
      <c r="M28" s="226"/>
      <c r="N28" s="226"/>
      <c r="O28" s="226"/>
      <c r="P28" s="226"/>
      <c r="Q28" s="541"/>
      <c r="R28" s="226"/>
      <c r="S28" s="226"/>
      <c r="T28" s="226"/>
      <c r="U28" s="226"/>
      <c r="V28" s="226"/>
      <c r="W28" s="226"/>
      <c r="AA28" s="240"/>
      <c r="AB28" s="226"/>
      <c r="AC28" s="576" t="s">
        <v>346</v>
      </c>
      <c r="AD28" s="744">
        <f>AD22*365/12</f>
        <v>152.08333333333334</v>
      </c>
      <c r="AE28" s="744">
        <f>AE22*365/12</f>
        <v>228.125</v>
      </c>
      <c r="AF28" s="744">
        <f>AF22*365/12</f>
        <v>304.16666666666669</v>
      </c>
      <c r="AH28" s="738"/>
      <c r="AJ28" s="240"/>
      <c r="AK28" s="226"/>
      <c r="AL28" s="576" t="s">
        <v>346</v>
      </c>
      <c r="AM28" s="744">
        <f>AM22</f>
        <v>5</v>
      </c>
      <c r="AN28" s="744">
        <f>AN22</f>
        <v>7.5</v>
      </c>
      <c r="AO28" s="744">
        <f>AO22</f>
        <v>10</v>
      </c>
      <c r="AQ28" s="738"/>
      <c r="AT28" s="226"/>
      <c r="AU28" s="226"/>
      <c r="AV28" s="226"/>
      <c r="AW28" s="226"/>
      <c r="AX28" s="226"/>
      <c r="AY28" s="226"/>
      <c r="AZ28" s="768"/>
      <c r="BA28" s="551"/>
    </row>
    <row r="29" spans="2:53">
      <c r="B29" s="226"/>
      <c r="C29" s="226"/>
      <c r="D29" s="226"/>
      <c r="E29" s="226"/>
      <c r="F29" s="226"/>
      <c r="G29" s="226"/>
      <c r="I29" s="226"/>
      <c r="J29" s="226"/>
      <c r="K29" s="226"/>
      <c r="L29" s="226"/>
      <c r="M29" s="226"/>
      <c r="N29" s="226"/>
      <c r="O29" s="226"/>
      <c r="P29" s="226"/>
      <c r="Q29" s="541"/>
      <c r="R29" s="226"/>
      <c r="S29" s="226"/>
      <c r="T29" s="226"/>
      <c r="U29" s="226"/>
      <c r="V29" s="226"/>
      <c r="W29" s="226"/>
      <c r="AA29" s="240"/>
      <c r="AB29" s="226"/>
      <c r="AC29" s="576" t="s">
        <v>21</v>
      </c>
      <c r="AD29" s="744">
        <f>AD23*$V$9</f>
        <v>286.50376589350117</v>
      </c>
      <c r="AE29" s="744">
        <f>AE23*$V$9</f>
        <v>396.99623899264344</v>
      </c>
      <c r="AF29" s="744">
        <f>AF23*$V$9</f>
        <v>507.4867217631118</v>
      </c>
      <c r="AH29" s="738"/>
      <c r="AJ29" s="240"/>
      <c r="AK29" s="226"/>
      <c r="AL29" s="548" t="s">
        <v>21</v>
      </c>
      <c r="AM29" s="765">
        <f>AM23*$W$9</f>
        <v>5538.0567905541948</v>
      </c>
      <c r="AN29" s="765">
        <f>AN23*$W$9</f>
        <v>8299.9694740959985</v>
      </c>
      <c r="AO29" s="765">
        <f>AO23*$W$9</f>
        <v>12410.817796599884</v>
      </c>
      <c r="AQ29" s="738"/>
      <c r="AT29" s="226"/>
      <c r="AU29" s="226"/>
      <c r="AV29" s="226"/>
      <c r="AW29" s="226"/>
      <c r="AX29" s="226"/>
      <c r="AY29" s="226"/>
      <c r="AZ29" s="742"/>
      <c r="BA29" s="551"/>
    </row>
    <row r="30" spans="2:53">
      <c r="B30" s="226"/>
      <c r="C30" s="226"/>
      <c r="D30" s="226"/>
      <c r="E30" s="226"/>
      <c r="F30" s="226"/>
      <c r="G30" s="226"/>
      <c r="I30" s="226"/>
      <c r="J30" s="226"/>
      <c r="K30" s="226"/>
      <c r="L30" s="226"/>
      <c r="M30" s="226"/>
      <c r="N30" s="226"/>
      <c r="O30" s="226"/>
      <c r="P30" s="226"/>
      <c r="Q30" s="541"/>
      <c r="R30" s="226"/>
      <c r="S30" s="226"/>
      <c r="T30" s="226"/>
      <c r="U30" s="226"/>
      <c r="V30" s="226"/>
      <c r="W30" s="226"/>
      <c r="AA30" s="240"/>
      <c r="AB30" s="226"/>
      <c r="AC30" s="548" t="s">
        <v>338</v>
      </c>
      <c r="AD30" s="765">
        <f>AD24</f>
        <v>5</v>
      </c>
      <c r="AE30" s="765">
        <f>AE24</f>
        <v>7.5</v>
      </c>
      <c r="AF30" s="765">
        <f>AF24</f>
        <v>10</v>
      </c>
      <c r="AH30" s="738"/>
      <c r="AJ30" s="240"/>
      <c r="AK30" s="226"/>
      <c r="AL30" s="771" t="s">
        <v>338</v>
      </c>
      <c r="AM30" s="772">
        <f>AM24</f>
        <v>5</v>
      </c>
      <c r="AN30" s="772">
        <f>AN24</f>
        <v>7.5</v>
      </c>
      <c r="AO30" s="772">
        <f>AO24</f>
        <v>10</v>
      </c>
      <c r="AQ30" s="738"/>
      <c r="AT30" s="226"/>
      <c r="AU30" s="226"/>
      <c r="AV30" s="226"/>
      <c r="AW30" s="767"/>
      <c r="AX30" s="226"/>
      <c r="AY30" s="226"/>
      <c r="AZ30" s="742"/>
      <c r="BA30" s="551"/>
    </row>
    <row r="31" spans="2:53">
      <c r="B31" s="226"/>
      <c r="C31" s="226"/>
      <c r="D31" s="226"/>
      <c r="E31" s="226"/>
      <c r="F31" s="226"/>
      <c r="G31" s="226"/>
      <c r="I31" s="226"/>
      <c r="J31" s="226"/>
      <c r="K31" s="226"/>
      <c r="L31" s="226"/>
      <c r="M31" s="226"/>
      <c r="N31" s="226"/>
      <c r="O31" s="226"/>
      <c r="P31" s="226"/>
      <c r="Q31" s="541"/>
      <c r="R31" s="226"/>
      <c r="S31" s="226"/>
      <c r="T31" s="226"/>
      <c r="U31" s="226"/>
      <c r="V31" s="226"/>
      <c r="W31" s="226"/>
      <c r="AA31" s="240"/>
      <c r="AB31" s="226"/>
      <c r="AC31" s="595" t="s">
        <v>45</v>
      </c>
      <c r="AD31" s="766">
        <f>SUM(AD28:AD29)</f>
        <v>438.58709922683454</v>
      </c>
      <c r="AE31" s="766">
        <f t="shared" ref="AE31:AF31" si="3">SUM(AE28:AE29)</f>
        <v>625.12123899264338</v>
      </c>
      <c r="AF31" s="766">
        <f t="shared" si="3"/>
        <v>811.65338842977849</v>
      </c>
      <c r="AH31" s="738"/>
      <c r="AJ31" s="240"/>
      <c r="AK31" s="226"/>
      <c r="AL31" s="595" t="s">
        <v>45</v>
      </c>
      <c r="AM31" s="766">
        <f>SUM(AM28:AM29)</f>
        <v>5543.0567905541948</v>
      </c>
      <c r="AN31" s="766">
        <f>SUM(AN28:AN29)</f>
        <v>8307.4694740959985</v>
      </c>
      <c r="AO31" s="766">
        <f>SUM(AO28:AO29)</f>
        <v>12420.817796599884</v>
      </c>
      <c r="AQ31" s="738"/>
      <c r="AT31" s="226"/>
      <c r="AU31" s="226"/>
      <c r="AV31" s="226"/>
      <c r="AW31" s="767"/>
      <c r="AX31" s="226"/>
      <c r="AY31" s="226"/>
      <c r="AZ31" s="742"/>
      <c r="BA31" s="551"/>
    </row>
    <row r="32" spans="2:53">
      <c r="B32" s="226"/>
      <c r="C32" s="226"/>
      <c r="D32" s="226"/>
      <c r="E32" s="226"/>
      <c r="F32" s="226"/>
      <c r="G32" s="226"/>
      <c r="I32" s="226"/>
      <c r="J32" s="226"/>
      <c r="K32" s="226"/>
      <c r="L32" s="226"/>
      <c r="M32" s="226"/>
      <c r="N32" s="226"/>
      <c r="O32" s="226"/>
      <c r="P32" s="226"/>
      <c r="Q32" s="541"/>
      <c r="R32" s="226"/>
      <c r="S32" s="226"/>
      <c r="T32" s="226"/>
      <c r="U32" s="226"/>
      <c r="V32" s="226"/>
      <c r="W32" s="226"/>
      <c r="AA32" s="240"/>
      <c r="AB32" s="226"/>
      <c r="AC32" s="595" t="s">
        <v>83</v>
      </c>
      <c r="AD32" s="767">
        <f>AD31/$V$9</f>
        <v>8.3507427184040028E-2</v>
      </c>
      <c r="AE32" s="767">
        <f>AE31/$V$9</f>
        <v>0.11902371601535949</v>
      </c>
      <c r="AF32" s="767">
        <f>AF31/$V$9</f>
        <v>0.15453962588608688</v>
      </c>
      <c r="AH32" s="738"/>
      <c r="AJ32" s="240"/>
      <c r="AK32" s="226"/>
      <c r="AL32" s="595" t="s">
        <v>83</v>
      </c>
      <c r="AM32" s="767">
        <f>AM31/W9</f>
        <v>5.4529186927888607E-2</v>
      </c>
      <c r="AN32" s="767">
        <f>AN31/W9</f>
        <v>8.1723780391832909E-2</v>
      </c>
      <c r="AO32" s="767">
        <f>AO31/W9</f>
        <v>0.12218837385577722</v>
      </c>
      <c r="AQ32" s="738"/>
      <c r="AT32" s="226"/>
      <c r="AU32" s="226"/>
      <c r="AV32" s="226"/>
      <c r="AW32" s="226"/>
      <c r="AX32" s="226"/>
      <c r="AY32" s="226"/>
      <c r="AZ32" s="541"/>
      <c r="BA32" s="551"/>
    </row>
    <row r="33" spans="14:43">
      <c r="AA33" s="240"/>
      <c r="AB33" s="226"/>
      <c r="AC33" s="226"/>
      <c r="AD33" s="226"/>
      <c r="AE33" s="226"/>
      <c r="AF33" s="226"/>
      <c r="AH33" s="738"/>
      <c r="AJ33" s="240"/>
      <c r="AK33" s="226"/>
      <c r="AL33" s="226"/>
      <c r="AM33" s="226"/>
      <c r="AN33" s="226"/>
      <c r="AO33" s="226"/>
      <c r="AQ33" s="738"/>
    </row>
    <row r="34" spans="14:43">
      <c r="AA34" s="240"/>
      <c r="AB34" s="240"/>
      <c r="AC34" s="240"/>
      <c r="AD34" s="240"/>
      <c r="AE34" s="240"/>
      <c r="AF34" s="240"/>
      <c r="AG34" s="240"/>
      <c r="AH34" s="738"/>
      <c r="AJ34" s="240"/>
      <c r="AK34" s="240"/>
      <c r="AL34" s="240"/>
      <c r="AM34" s="240"/>
      <c r="AN34" s="240"/>
      <c r="AO34" s="240"/>
      <c r="AP34" s="240"/>
      <c r="AQ34" s="738"/>
    </row>
    <row r="36" spans="14:43">
      <c r="N36" s="852"/>
      <c r="AF36" s="188" t="s">
        <v>348</v>
      </c>
      <c r="AG36" s="773">
        <f>AF32-RS17a_Average</f>
        <v>4.289862588608688E-2</v>
      </c>
      <c r="AH36" s="221"/>
      <c r="AI36" s="221"/>
    </row>
    <row r="37" spans="14:43">
      <c r="N37" s="852"/>
      <c r="AF37" s="188" t="s">
        <v>349</v>
      </c>
      <c r="AG37" s="773">
        <f>AF18-RS17b_Average</f>
        <v>-6.6730427042097085E-5</v>
      </c>
      <c r="AH37" s="221"/>
      <c r="AI37" s="221"/>
    </row>
    <row r="38" spans="14:43">
      <c r="N38" s="852"/>
    </row>
    <row r="39" spans="14:43">
      <c r="N39" s="852"/>
    </row>
    <row r="40" spans="14:43">
      <c r="N40" s="852"/>
    </row>
    <row r="41" spans="14:43">
      <c r="N41" s="852"/>
    </row>
    <row r="42" spans="14:43">
      <c r="N42" s="852"/>
      <c r="AN42">
        <v>2020</v>
      </c>
      <c r="AO42">
        <v>2021</v>
      </c>
    </row>
    <row r="43" spans="14:43">
      <c r="N43" s="852"/>
      <c r="AM43">
        <v>3.4410000000000003E-2</v>
      </c>
      <c r="AN43">
        <f>AVERAGE(AM43,AO43)</f>
        <v>4.1647500000000004E-2</v>
      </c>
      <c r="AO43">
        <f>RS17b_Average</f>
        <v>4.8884999999999998E-2</v>
      </c>
    </row>
    <row r="44" spans="14:43">
      <c r="N44" s="852"/>
    </row>
    <row r="45" spans="14:43">
      <c r="N45" s="852"/>
      <c r="AM45">
        <v>8.4900000000000003E-2</v>
      </c>
      <c r="AN45">
        <f>AVERAGE(AM45,AO45)</f>
        <v>9.8270500000000011E-2</v>
      </c>
      <c r="AO45">
        <f>RS17a_Average</f>
        <v>0.111641</v>
      </c>
    </row>
    <row r="46" spans="14:43">
      <c r="N46" s="852"/>
      <c r="AN46" t="s">
        <v>350</v>
      </c>
    </row>
    <row r="47" spans="14:43">
      <c r="AN47">
        <f>23*8760*1000</f>
        <v>201480000</v>
      </c>
    </row>
    <row r="48" spans="14:43">
      <c r="AN48" s="186">
        <f>AN43*AN47</f>
        <v>8391138.3000000007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521EC-40A4-4C9B-A069-51349C1BE32B}">
  <dimension ref="B1:BA22"/>
  <sheetViews>
    <sheetView topLeftCell="S1" zoomScaleNormal="100" workbookViewId="0">
      <selection activeCell="AY31" sqref="AY31"/>
    </sheetView>
  </sheetViews>
  <sheetFormatPr defaultRowHeight="9"/>
  <cols>
    <col min="1" max="3" width="2.125" style="802" customWidth="1"/>
    <col min="4" max="4" width="16.125" style="802" bestFit="1" customWidth="1"/>
    <col min="5" max="5" width="11.125" style="802" bestFit="1" customWidth="1"/>
    <col min="6" max="6" width="4.875" style="802" bestFit="1" customWidth="1"/>
    <col min="7" max="11" width="2.125" style="802" customWidth="1"/>
    <col min="12" max="12" width="6.25" style="802" bestFit="1" customWidth="1"/>
    <col min="13" max="18" width="8.625" style="802" customWidth="1"/>
    <col min="19" max="24" width="2.125" style="802" customWidth="1"/>
    <col min="25" max="31" width="8.625" style="802" customWidth="1"/>
    <col min="32" max="36" width="2.125" style="802" customWidth="1"/>
    <col min="37" max="37" width="5.625" style="802" bestFit="1" customWidth="1"/>
    <col min="38" max="38" width="4.75" style="802" bestFit="1" customWidth="1"/>
    <col min="39" max="39" width="6.5" style="802" bestFit="1" customWidth="1"/>
    <col min="40" max="40" width="6.25" style="802" bestFit="1" customWidth="1"/>
    <col min="41" max="41" width="6" style="802" bestFit="1" customWidth="1"/>
    <col min="42" max="42" width="10.625" style="802" bestFit="1" customWidth="1"/>
    <col min="43" max="43" width="5.25" style="802" bestFit="1" customWidth="1"/>
    <col min="44" max="48" width="2.125" style="802" customWidth="1"/>
    <col min="49" max="49" width="16.125" style="802" bestFit="1" customWidth="1"/>
    <col min="50" max="50" width="11.125" style="802" bestFit="1" customWidth="1"/>
    <col min="51" max="51" width="4.875" style="802" bestFit="1" customWidth="1"/>
    <col min="52" max="54" width="2.125" style="802" customWidth="1"/>
    <col min="55" max="16384" width="9" style="802"/>
  </cols>
  <sheetData>
    <row r="1" spans="2:53" ht="9.75" thickBot="1"/>
    <row r="2" spans="2:53" ht="9.75" thickTop="1">
      <c r="B2" s="803" t="s">
        <v>59</v>
      </c>
      <c r="C2" s="804"/>
      <c r="D2" s="805"/>
      <c r="E2" s="805"/>
      <c r="F2" s="805"/>
      <c r="G2" s="805"/>
      <c r="H2" s="806"/>
      <c r="J2" s="825" t="s">
        <v>379</v>
      </c>
      <c r="K2" s="826"/>
      <c r="L2" s="826"/>
      <c r="M2" s="826"/>
      <c r="N2" s="826"/>
      <c r="O2" s="826"/>
      <c r="P2" s="826"/>
      <c r="Q2" s="826"/>
      <c r="R2" s="826"/>
      <c r="S2" s="826"/>
      <c r="T2" s="826"/>
      <c r="W2" s="825" t="s">
        <v>380</v>
      </c>
      <c r="X2" s="826"/>
      <c r="Y2" s="826"/>
      <c r="Z2" s="826"/>
      <c r="AA2" s="826"/>
      <c r="AB2" s="826"/>
      <c r="AC2" s="826"/>
      <c r="AD2" s="826"/>
      <c r="AE2" s="826"/>
      <c r="AF2" s="826"/>
      <c r="AG2" s="826"/>
      <c r="AI2" s="825" t="s">
        <v>381</v>
      </c>
      <c r="AJ2" s="826"/>
      <c r="AK2" s="826"/>
      <c r="AL2" s="826"/>
      <c r="AM2" s="826"/>
      <c r="AN2" s="826"/>
      <c r="AO2" s="826"/>
      <c r="AP2" s="826"/>
      <c r="AQ2" s="826"/>
      <c r="AR2" s="826"/>
      <c r="AS2" s="826"/>
      <c r="AU2" s="803" t="s">
        <v>59</v>
      </c>
      <c r="AV2" s="804"/>
      <c r="AW2" s="805"/>
      <c r="AX2" s="805"/>
      <c r="AY2" s="805"/>
      <c r="AZ2" s="805"/>
      <c r="BA2" s="806"/>
    </row>
    <row r="3" spans="2:53">
      <c r="B3" s="811"/>
      <c r="C3" s="812"/>
      <c r="D3" s="813"/>
      <c r="E3" s="813"/>
      <c r="F3" s="814"/>
      <c r="G3" s="814"/>
      <c r="H3" s="815"/>
      <c r="J3" s="829"/>
      <c r="T3" s="829"/>
      <c r="W3" s="829"/>
      <c r="AG3" s="829"/>
      <c r="AI3" s="829"/>
      <c r="AS3" s="829"/>
      <c r="AU3" s="811"/>
      <c r="AV3" s="812"/>
      <c r="AW3" s="813"/>
      <c r="AX3" s="813"/>
      <c r="AY3" s="814"/>
      <c r="AZ3" s="814"/>
      <c r="BA3" s="815"/>
    </row>
    <row r="4" spans="2:53">
      <c r="B4" s="811"/>
      <c r="C4" s="812"/>
      <c r="D4" s="813"/>
      <c r="E4" s="813"/>
      <c r="F4" s="814"/>
      <c r="G4" s="814"/>
      <c r="H4" s="815"/>
      <c r="J4" s="829"/>
      <c r="M4" s="808" t="s">
        <v>372</v>
      </c>
      <c r="N4" s="809"/>
      <c r="O4" s="809"/>
      <c r="P4" s="809"/>
      <c r="Q4" s="809"/>
      <c r="R4" s="833"/>
      <c r="T4" s="829"/>
      <c r="W4" s="829"/>
      <c r="Z4" s="808" t="s">
        <v>373</v>
      </c>
      <c r="AA4" s="809"/>
      <c r="AB4" s="809"/>
      <c r="AC4" s="809"/>
      <c r="AD4" s="809"/>
      <c r="AE4" s="833"/>
      <c r="AG4" s="829"/>
      <c r="AI4" s="829"/>
      <c r="AL4" s="807" t="s">
        <v>334</v>
      </c>
      <c r="AM4" s="808" t="s">
        <v>21</v>
      </c>
      <c r="AN4" s="809"/>
      <c r="AO4" s="809"/>
      <c r="AP4" s="809"/>
      <c r="AQ4" s="810" t="s">
        <v>10</v>
      </c>
      <c r="AS4" s="829"/>
      <c r="AU4" s="811"/>
      <c r="AV4" s="812"/>
      <c r="AW4" s="813"/>
      <c r="AX4" s="813"/>
      <c r="AY4" s="814"/>
      <c r="AZ4" s="814"/>
      <c r="BA4" s="815"/>
    </row>
    <row r="5" spans="2:53">
      <c r="B5" s="820"/>
      <c r="C5" s="812"/>
      <c r="D5" s="821" t="s">
        <v>375</v>
      </c>
      <c r="E5" s="822"/>
      <c r="F5" s="823"/>
      <c r="G5" s="813"/>
      <c r="H5" s="824"/>
      <c r="J5" s="829"/>
      <c r="M5" s="808" t="s">
        <v>363</v>
      </c>
      <c r="N5" s="809"/>
      <c r="O5" s="833"/>
      <c r="P5" s="808" t="s">
        <v>364</v>
      </c>
      <c r="Q5" s="809"/>
      <c r="R5" s="833"/>
      <c r="T5" s="829"/>
      <c r="W5" s="829"/>
      <c r="Z5" s="808" t="s">
        <v>363</v>
      </c>
      <c r="AA5" s="809"/>
      <c r="AB5" s="833"/>
      <c r="AC5" s="808" t="s">
        <v>364</v>
      </c>
      <c r="AD5" s="809"/>
      <c r="AE5" s="833"/>
      <c r="AG5" s="829"/>
      <c r="AI5" s="829"/>
      <c r="AL5" s="807" t="s">
        <v>334</v>
      </c>
      <c r="AM5" s="807" t="s">
        <v>369</v>
      </c>
      <c r="AN5" s="807" t="s">
        <v>367</v>
      </c>
      <c r="AO5" s="807" t="s">
        <v>70</v>
      </c>
      <c r="AP5" s="816" t="s">
        <v>368</v>
      </c>
      <c r="AQ5" s="817"/>
      <c r="AS5" s="829"/>
      <c r="AU5" s="820"/>
      <c r="AV5" s="812"/>
      <c r="AW5" s="821" t="s">
        <v>375</v>
      </c>
      <c r="AX5" s="822"/>
      <c r="AY5" s="823"/>
      <c r="AZ5" s="813"/>
      <c r="BA5" s="824"/>
    </row>
    <row r="6" spans="2:53">
      <c r="B6" s="820"/>
      <c r="C6" s="812"/>
      <c r="D6" s="828" t="s">
        <v>4</v>
      </c>
      <c r="E6" s="828" t="s">
        <v>5</v>
      </c>
      <c r="F6" s="828" t="s">
        <v>6</v>
      </c>
      <c r="G6" s="813"/>
      <c r="H6" s="824"/>
      <c r="J6" s="829"/>
      <c r="M6" s="807">
        <v>2019</v>
      </c>
      <c r="N6" s="807">
        <v>2020</v>
      </c>
      <c r="O6" s="807">
        <v>2021</v>
      </c>
      <c r="P6" s="807">
        <v>2019</v>
      </c>
      <c r="Q6" s="807">
        <v>2020</v>
      </c>
      <c r="R6" s="807">
        <v>2021</v>
      </c>
      <c r="T6" s="829"/>
      <c r="W6" s="829"/>
      <c r="Z6" s="807">
        <v>2019</v>
      </c>
      <c r="AA6" s="807">
        <v>2020</v>
      </c>
      <c r="AB6" s="807">
        <v>2021</v>
      </c>
      <c r="AC6" s="807">
        <v>2019</v>
      </c>
      <c r="AD6" s="807">
        <v>2020</v>
      </c>
      <c r="AE6" s="807">
        <v>2021</v>
      </c>
      <c r="AG6" s="829"/>
      <c r="AI6" s="829"/>
      <c r="AK6" s="802" t="s">
        <v>366</v>
      </c>
      <c r="AL6" s="818">
        <v>0.55000000000000004</v>
      </c>
      <c r="AM6" s="802" t="s">
        <v>370</v>
      </c>
      <c r="AN6" s="819">
        <v>4.5469999999999997E-2</v>
      </c>
      <c r="AO6" s="819">
        <v>0</v>
      </c>
      <c r="AP6" s="819">
        <v>0</v>
      </c>
      <c r="AQ6" s="818">
        <v>0</v>
      </c>
      <c r="AS6" s="829"/>
      <c r="AU6" s="820"/>
      <c r="AV6" s="812"/>
      <c r="AW6" s="828" t="s">
        <v>4</v>
      </c>
      <c r="AX6" s="828" t="s">
        <v>5</v>
      </c>
      <c r="AY6" s="828" t="s">
        <v>6</v>
      </c>
      <c r="AZ6" s="813"/>
      <c r="BA6" s="824"/>
    </row>
    <row r="7" spans="2:53">
      <c r="B7" s="820"/>
      <c r="C7" s="812"/>
      <c r="D7" s="830" t="s">
        <v>10</v>
      </c>
      <c r="E7" s="831">
        <v>30</v>
      </c>
      <c r="F7" s="832" t="s">
        <v>11</v>
      </c>
      <c r="G7" s="813"/>
      <c r="H7" s="824"/>
      <c r="J7" s="829"/>
      <c r="L7" s="802" t="s">
        <v>334</v>
      </c>
      <c r="M7" s="841">
        <v>5</v>
      </c>
      <c r="N7" s="841">
        <v>7.5</v>
      </c>
      <c r="O7" s="841">
        <v>10</v>
      </c>
      <c r="P7" s="841">
        <v>500</v>
      </c>
      <c r="Q7" s="841">
        <v>750</v>
      </c>
      <c r="R7" s="841">
        <v>1000</v>
      </c>
      <c r="T7" s="829"/>
      <c r="W7" s="829"/>
      <c r="Y7" s="802" t="s">
        <v>334</v>
      </c>
      <c r="Z7" s="841">
        <v>5</v>
      </c>
      <c r="AA7" s="841">
        <v>7.5</v>
      </c>
      <c r="AB7" s="841">
        <v>10</v>
      </c>
      <c r="AC7" s="841">
        <v>500</v>
      </c>
      <c r="AD7" s="841">
        <v>750</v>
      </c>
      <c r="AE7" s="841">
        <v>1000</v>
      </c>
      <c r="AG7" s="829"/>
      <c r="AI7" s="829"/>
      <c r="AK7" s="802" t="s">
        <v>365</v>
      </c>
      <c r="AL7" s="818">
        <v>148.32</v>
      </c>
      <c r="AM7" s="802" t="s">
        <v>76</v>
      </c>
      <c r="AN7" s="819">
        <v>2.1000000000000001E-2</v>
      </c>
      <c r="AO7" s="819">
        <v>1.857E-2</v>
      </c>
      <c r="AP7" s="827">
        <v>7300000</v>
      </c>
      <c r="AQ7" s="818">
        <v>4.96</v>
      </c>
      <c r="AS7" s="829"/>
      <c r="AU7" s="820"/>
      <c r="AV7" s="812"/>
      <c r="AW7" s="830" t="s">
        <v>10</v>
      </c>
      <c r="AX7" s="831">
        <v>7.75</v>
      </c>
      <c r="AY7" s="832" t="s">
        <v>11</v>
      </c>
      <c r="AZ7" s="813"/>
      <c r="BA7" s="824"/>
    </row>
    <row r="8" spans="2:53">
      <c r="B8" s="820"/>
      <c r="C8" s="812"/>
      <c r="D8" s="834" t="s">
        <v>15</v>
      </c>
      <c r="E8" s="835">
        <v>0.92500000000000004</v>
      </c>
      <c r="F8" s="836"/>
      <c r="G8" s="813"/>
      <c r="H8" s="824"/>
      <c r="J8" s="829"/>
      <c r="L8" s="802" t="s">
        <v>21</v>
      </c>
      <c r="M8" s="843">
        <v>5.4480000000000001E-2</v>
      </c>
      <c r="N8" s="843">
        <v>8.165E-2</v>
      </c>
      <c r="O8" s="843">
        <v>0.12209</v>
      </c>
      <c r="P8" s="843">
        <v>2.2190000000000001E-2</v>
      </c>
      <c r="Q8" s="843">
        <v>2.4649999999999998E-2</v>
      </c>
      <c r="R8" s="843">
        <v>3.5180000000000003E-2</v>
      </c>
      <c r="T8" s="829"/>
      <c r="W8" s="829"/>
      <c r="Y8" s="802" t="s">
        <v>21</v>
      </c>
      <c r="Z8" s="843">
        <f>M8</f>
        <v>5.4480000000000001E-2</v>
      </c>
      <c r="AA8" s="843">
        <v>7.5588485339533079E-2</v>
      </c>
      <c r="AB8" s="843">
        <v>9.6625984984984994E-2</v>
      </c>
      <c r="AC8" s="843">
        <v>2.2190000000000001E-2</v>
      </c>
      <c r="AD8" s="843">
        <v>1.3039E-2</v>
      </c>
      <c r="AE8" s="843">
        <v>3.888E-3</v>
      </c>
      <c r="AG8" s="829"/>
      <c r="AI8" s="829"/>
      <c r="AS8" s="829"/>
      <c r="AU8" s="820"/>
      <c r="AV8" s="812"/>
      <c r="AW8" s="834" t="s">
        <v>15</v>
      </c>
      <c r="AX8" s="835">
        <v>0.93376161807308322</v>
      </c>
      <c r="AY8" s="836"/>
      <c r="AZ8" s="813"/>
      <c r="BA8" s="824"/>
    </row>
    <row r="9" spans="2:53">
      <c r="B9" s="820"/>
      <c r="C9" s="812"/>
      <c r="D9" s="834" t="s">
        <v>19</v>
      </c>
      <c r="E9" s="837">
        <f>E7*E8*8760</f>
        <v>243090</v>
      </c>
      <c r="F9" s="836" t="s">
        <v>20</v>
      </c>
      <c r="G9" s="813"/>
      <c r="H9" s="824"/>
      <c r="J9" s="829"/>
      <c r="L9" s="802" t="s">
        <v>10</v>
      </c>
      <c r="M9" s="844"/>
      <c r="N9" s="844"/>
      <c r="O9" s="844"/>
      <c r="P9" s="845">
        <v>8</v>
      </c>
      <c r="Q9" s="845">
        <v>19</v>
      </c>
      <c r="R9" s="845">
        <v>30</v>
      </c>
      <c r="T9" s="829"/>
      <c r="W9" s="829"/>
      <c r="Y9" s="802" t="s">
        <v>10</v>
      </c>
      <c r="Z9" s="844" t="s">
        <v>193</v>
      </c>
      <c r="AA9" s="844" t="s">
        <v>193</v>
      </c>
      <c r="AB9" s="844" t="s">
        <v>193</v>
      </c>
      <c r="AC9" s="845">
        <v>8</v>
      </c>
      <c r="AD9" s="845">
        <v>19</v>
      </c>
      <c r="AE9" s="845">
        <v>30</v>
      </c>
      <c r="AG9" s="829"/>
      <c r="AI9" s="829"/>
      <c r="AJ9" s="829"/>
      <c r="AK9" s="829"/>
      <c r="AL9" s="829"/>
      <c r="AM9" s="829"/>
      <c r="AN9" s="829"/>
      <c r="AO9" s="829"/>
      <c r="AP9" s="829"/>
      <c r="AQ9" s="829"/>
      <c r="AR9" s="829"/>
      <c r="AS9" s="829"/>
      <c r="AU9" s="820"/>
      <c r="AV9" s="812"/>
      <c r="AW9" s="834" t="s">
        <v>19</v>
      </c>
      <c r="AX9" s="837">
        <v>63393.07625098162</v>
      </c>
      <c r="AY9" s="836" t="s">
        <v>20</v>
      </c>
      <c r="AZ9" s="813"/>
      <c r="BA9" s="824"/>
    </row>
    <row r="10" spans="2:53">
      <c r="B10" s="820"/>
      <c r="C10" s="812"/>
      <c r="D10" s="838" t="s">
        <v>24</v>
      </c>
      <c r="E10" s="839">
        <f>E9/12</f>
        <v>20257.5</v>
      </c>
      <c r="F10" s="840" t="s">
        <v>20</v>
      </c>
      <c r="G10" s="813"/>
      <c r="H10" s="824"/>
      <c r="J10" s="829"/>
      <c r="M10" s="846"/>
      <c r="N10" s="846"/>
      <c r="O10" s="846"/>
      <c r="P10" s="847"/>
      <c r="Q10" s="847"/>
      <c r="R10" s="847"/>
      <c r="T10" s="829"/>
      <c r="W10" s="829"/>
      <c r="AG10" s="829"/>
      <c r="AU10" s="820"/>
      <c r="AV10" s="812"/>
      <c r="AW10" s="838" t="s">
        <v>24</v>
      </c>
      <c r="AX10" s="839">
        <v>5282.7563542484686</v>
      </c>
      <c r="AY10" s="840" t="s">
        <v>20</v>
      </c>
      <c r="AZ10" s="813"/>
      <c r="BA10" s="824"/>
    </row>
    <row r="11" spans="2:53">
      <c r="B11" s="820"/>
      <c r="C11" s="812"/>
      <c r="D11" s="813"/>
      <c r="E11" s="842"/>
      <c r="F11" s="813"/>
      <c r="G11" s="813"/>
      <c r="H11" s="824"/>
      <c r="J11" s="829"/>
      <c r="M11" s="808" t="s">
        <v>376</v>
      </c>
      <c r="N11" s="809"/>
      <c r="O11" s="809"/>
      <c r="P11" s="809"/>
      <c r="Q11" s="809"/>
      <c r="R11" s="833"/>
      <c r="T11" s="829"/>
      <c r="W11" s="829"/>
      <c r="Z11" s="808" t="s">
        <v>376</v>
      </c>
      <c r="AA11" s="809"/>
      <c r="AB11" s="809"/>
      <c r="AC11" s="809"/>
      <c r="AD11" s="809"/>
      <c r="AE11" s="833"/>
      <c r="AG11" s="829"/>
      <c r="AU11" s="820"/>
      <c r="AV11" s="812"/>
      <c r="AW11" s="813"/>
      <c r="AX11" s="842"/>
      <c r="AY11" s="813"/>
      <c r="AZ11" s="813"/>
      <c r="BA11" s="824"/>
    </row>
    <row r="12" spans="2:53">
      <c r="B12" s="820"/>
      <c r="C12" s="812"/>
      <c r="D12" s="821" t="s">
        <v>374</v>
      </c>
      <c r="E12" s="822"/>
      <c r="F12" s="823"/>
      <c r="G12" s="813"/>
      <c r="H12" s="824"/>
      <c r="J12" s="829"/>
      <c r="M12" s="808" t="s">
        <v>363</v>
      </c>
      <c r="N12" s="809"/>
      <c r="O12" s="833"/>
      <c r="P12" s="808" t="s">
        <v>364</v>
      </c>
      <c r="Q12" s="809"/>
      <c r="R12" s="833"/>
      <c r="T12" s="829"/>
      <c r="W12" s="829"/>
      <c r="Z12" s="808" t="s">
        <v>363</v>
      </c>
      <c r="AA12" s="809"/>
      <c r="AB12" s="833"/>
      <c r="AC12" s="808" t="s">
        <v>364</v>
      </c>
      <c r="AD12" s="809"/>
      <c r="AE12" s="833"/>
      <c r="AG12" s="829"/>
      <c r="AU12" s="820"/>
      <c r="AV12" s="812"/>
      <c r="AW12" s="821" t="s">
        <v>374</v>
      </c>
      <c r="AX12" s="822"/>
      <c r="AY12" s="823"/>
      <c r="AZ12" s="813"/>
      <c r="BA12" s="824"/>
    </row>
    <row r="13" spans="2:53">
      <c r="B13" s="820"/>
      <c r="C13" s="812"/>
      <c r="D13" s="828" t="s">
        <v>4</v>
      </c>
      <c r="E13" s="828" t="s">
        <v>5</v>
      </c>
      <c r="F13" s="828" t="s">
        <v>6</v>
      </c>
      <c r="G13" s="813"/>
      <c r="H13" s="824"/>
      <c r="J13" s="829"/>
      <c r="M13" s="807">
        <v>2019</v>
      </c>
      <c r="N13" s="807">
        <v>2020</v>
      </c>
      <c r="O13" s="807">
        <v>2021</v>
      </c>
      <c r="P13" s="807">
        <v>2019</v>
      </c>
      <c r="Q13" s="807">
        <v>2020</v>
      </c>
      <c r="R13" s="807">
        <v>2021</v>
      </c>
      <c r="T13" s="829"/>
      <c r="W13" s="829"/>
      <c r="Z13" s="807">
        <v>2019</v>
      </c>
      <c r="AA13" s="807">
        <v>2020</v>
      </c>
      <c r="AB13" s="807">
        <v>2021</v>
      </c>
      <c r="AC13" s="807">
        <v>2019</v>
      </c>
      <c r="AD13" s="807">
        <v>2020</v>
      </c>
      <c r="AE13" s="807">
        <v>2021</v>
      </c>
      <c r="AG13" s="829"/>
      <c r="AU13" s="820"/>
      <c r="AV13" s="812"/>
      <c r="AW13" s="828" t="s">
        <v>4</v>
      </c>
      <c r="AX13" s="828" t="s">
        <v>5</v>
      </c>
      <c r="AY13" s="828" t="s">
        <v>6</v>
      </c>
      <c r="AZ13" s="813"/>
      <c r="BA13" s="824"/>
    </row>
    <row r="14" spans="2:53">
      <c r="B14" s="820"/>
      <c r="C14" s="812"/>
      <c r="D14" s="830" t="s">
        <v>10</v>
      </c>
      <c r="E14" s="848">
        <v>2000</v>
      </c>
      <c r="F14" s="832" t="s">
        <v>11</v>
      </c>
      <c r="G14" s="813"/>
      <c r="H14" s="824"/>
      <c r="J14" s="829"/>
      <c r="L14" s="802" t="s">
        <v>334</v>
      </c>
      <c r="M14" s="849">
        <f>M7*(365/12)</f>
        <v>152.08333333333334</v>
      </c>
      <c r="N14" s="849">
        <f>N7*(365/12)</f>
        <v>228.125</v>
      </c>
      <c r="O14" s="849">
        <f>O7*(365/12)</f>
        <v>304.16666666666669</v>
      </c>
      <c r="P14" s="849">
        <f>P7</f>
        <v>500</v>
      </c>
      <c r="Q14" s="849">
        <f t="shared" ref="Q14:R14" si="0">Q7</f>
        <v>750</v>
      </c>
      <c r="R14" s="849">
        <f t="shared" si="0"/>
        <v>1000</v>
      </c>
      <c r="T14" s="829"/>
      <c r="W14" s="829"/>
      <c r="Y14" s="802" t="s">
        <v>334</v>
      </c>
      <c r="Z14" s="849">
        <f>Z7*(365/12)</f>
        <v>152.08333333333334</v>
      </c>
      <c r="AA14" s="849">
        <f>AA7*(365/12)</f>
        <v>228.125</v>
      </c>
      <c r="AB14" s="849">
        <f>AB7*(365/12)</f>
        <v>304.16666666666669</v>
      </c>
      <c r="AC14" s="849">
        <f>AC7</f>
        <v>500</v>
      </c>
      <c r="AD14" s="849">
        <f>AD7</f>
        <v>750</v>
      </c>
      <c r="AE14" s="849">
        <f>AE7</f>
        <v>1000</v>
      </c>
      <c r="AG14" s="829"/>
      <c r="AU14" s="820"/>
      <c r="AV14" s="812"/>
      <c r="AW14" s="830" t="s">
        <v>10</v>
      </c>
      <c r="AX14" s="848">
        <v>2000</v>
      </c>
      <c r="AY14" s="832" t="s">
        <v>11</v>
      </c>
      <c r="AZ14" s="813"/>
      <c r="BA14" s="824"/>
    </row>
    <row r="15" spans="2:53">
      <c r="B15" s="820"/>
      <c r="C15" s="812"/>
      <c r="D15" s="834" t="s">
        <v>15</v>
      </c>
      <c r="E15" s="835">
        <v>0.92849999999999999</v>
      </c>
      <c r="F15" s="836"/>
      <c r="G15" s="813"/>
      <c r="H15" s="824"/>
      <c r="J15" s="829"/>
      <c r="L15" s="802" t="s">
        <v>21</v>
      </c>
      <c r="M15" s="850">
        <f>M8*$E$10</f>
        <v>1103.6286</v>
      </c>
      <c r="N15" s="850">
        <f>N8*$E$10</f>
        <v>1654.0248750000001</v>
      </c>
      <c r="O15" s="850">
        <f>O8*$E$10</f>
        <v>2473.238175</v>
      </c>
      <c r="P15" s="850">
        <f>P8*$E$17</f>
        <v>30081.562833226264</v>
      </c>
      <c r="Q15" s="850">
        <f>Q8*$E$17</f>
        <v>33416.427392475322</v>
      </c>
      <c r="R15" s="850">
        <f>R8*$E$17</f>
        <v>47691.274469260927</v>
      </c>
      <c r="T15" s="829"/>
      <c r="W15" s="829"/>
      <c r="Y15" s="802" t="s">
        <v>21</v>
      </c>
      <c r="Z15" s="850">
        <f>Z8*$E$10</f>
        <v>1103.6286</v>
      </c>
      <c r="AA15" s="850">
        <f>AA8*$E$10</f>
        <v>1531.2337417655913</v>
      </c>
      <c r="AB15" s="850">
        <f>AB8*$E$10</f>
        <v>1957.4008908333335</v>
      </c>
      <c r="AC15" s="850">
        <f>AC8*$E$17</f>
        <v>30081.562833226264</v>
      </c>
      <c r="AD15" s="850">
        <f>AD8*$E$17</f>
        <v>17676.137800019704</v>
      </c>
      <c r="AE15" s="850">
        <f>AE8*$E$17</f>
        <v>5270.7127668131461</v>
      </c>
      <c r="AG15" s="829"/>
      <c r="AU15" s="820"/>
      <c r="AV15" s="812"/>
      <c r="AW15" s="834" t="s">
        <v>15</v>
      </c>
      <c r="AX15" s="835">
        <v>0.92851780801009542</v>
      </c>
      <c r="AY15" s="836"/>
      <c r="AZ15" s="813"/>
      <c r="BA15" s="824"/>
    </row>
    <row r="16" spans="2:53">
      <c r="B16" s="820"/>
      <c r="C16" s="812"/>
      <c r="D16" s="834" t="s">
        <v>19</v>
      </c>
      <c r="E16" s="837">
        <v>16267631.996336872</v>
      </c>
      <c r="F16" s="836" t="s">
        <v>20</v>
      </c>
      <c r="G16" s="813"/>
      <c r="H16" s="824"/>
      <c r="J16" s="829"/>
      <c r="L16" s="802" t="s">
        <v>10</v>
      </c>
      <c r="M16" s="850">
        <v>0</v>
      </c>
      <c r="N16" s="850">
        <v>0</v>
      </c>
      <c r="O16" s="850">
        <v>0</v>
      </c>
      <c r="P16" s="850">
        <f>P9*$E$14</f>
        <v>16000</v>
      </c>
      <c r="Q16" s="850">
        <f>Q9*$E$14</f>
        <v>38000</v>
      </c>
      <c r="R16" s="850">
        <f>R9*$E$14</f>
        <v>60000</v>
      </c>
      <c r="T16" s="829"/>
      <c r="W16" s="829"/>
      <c r="Y16" s="802" t="s">
        <v>10</v>
      </c>
      <c r="Z16" s="850">
        <v>0</v>
      </c>
      <c r="AA16" s="850">
        <v>0</v>
      </c>
      <c r="AB16" s="850">
        <v>0</v>
      </c>
      <c r="AC16" s="850">
        <f>AC9*$E$14</f>
        <v>16000</v>
      </c>
      <c r="AD16" s="850">
        <f>AD9*$E$14</f>
        <v>38000</v>
      </c>
      <c r="AE16" s="850">
        <f>AE9*$E$14</f>
        <v>60000</v>
      </c>
      <c r="AG16" s="829"/>
      <c r="AU16" s="820"/>
      <c r="AV16" s="812"/>
      <c r="AW16" s="834" t="s">
        <v>19</v>
      </c>
      <c r="AX16" s="837">
        <v>16267631.996336872</v>
      </c>
      <c r="AY16" s="836" t="s">
        <v>20</v>
      </c>
      <c r="AZ16" s="813"/>
      <c r="BA16" s="824"/>
    </row>
    <row r="17" spans="2:53">
      <c r="B17" s="820"/>
      <c r="C17" s="812"/>
      <c r="D17" s="838" t="s">
        <v>24</v>
      </c>
      <c r="E17" s="839">
        <v>1355635.9996947392</v>
      </c>
      <c r="F17" s="840" t="s">
        <v>20</v>
      </c>
      <c r="G17" s="813"/>
      <c r="H17" s="824"/>
      <c r="J17" s="829"/>
      <c r="L17" s="802" t="s">
        <v>377</v>
      </c>
      <c r="M17" s="851">
        <f>SUM(M14:M16)</f>
        <v>1255.7119333333333</v>
      </c>
      <c r="N17" s="851">
        <f t="shared" ref="N17" si="1">SUM(N14:N16)</f>
        <v>1882.1498750000001</v>
      </c>
      <c r="O17" s="851">
        <f t="shared" ref="O17" si="2">SUM(O14:O16)</f>
        <v>2777.4048416666665</v>
      </c>
      <c r="P17" s="851">
        <f t="shared" ref="P17" si="3">SUM(P14:P16)</f>
        <v>46581.562833226264</v>
      </c>
      <c r="Q17" s="851">
        <f t="shared" ref="Q17" si="4">SUM(Q14:Q16)</f>
        <v>72166.427392475322</v>
      </c>
      <c r="R17" s="851">
        <f t="shared" ref="R17" si="5">SUM(R14:R16)</f>
        <v>108691.27446926093</v>
      </c>
      <c r="T17" s="829"/>
      <c r="W17" s="829"/>
      <c r="Y17" s="802" t="s">
        <v>377</v>
      </c>
      <c r="Z17" s="851">
        <f>SUM(Z14:Z16)</f>
        <v>1255.7119333333333</v>
      </c>
      <c r="AA17" s="851">
        <f t="shared" ref="AA17" si="6">SUM(AA14:AA16)</f>
        <v>1759.3587417655913</v>
      </c>
      <c r="AB17" s="851">
        <f t="shared" ref="AB17" si="7">SUM(AB14:AB16)</f>
        <v>2261.5675575</v>
      </c>
      <c r="AC17" s="851">
        <f t="shared" ref="AC17" si="8">SUM(AC14:AC16)</f>
        <v>46581.562833226264</v>
      </c>
      <c r="AD17" s="851">
        <f t="shared" ref="AD17" si="9">SUM(AD14:AD16)</f>
        <v>56426.1378000197</v>
      </c>
      <c r="AE17" s="851">
        <f t="shared" ref="AE17" si="10">SUM(AE14:AE16)</f>
        <v>66270.712766813143</v>
      </c>
      <c r="AG17" s="829"/>
      <c r="AU17" s="820"/>
      <c r="AV17" s="812"/>
      <c r="AW17" s="838" t="s">
        <v>24</v>
      </c>
      <c r="AX17" s="839">
        <v>1355635.9996947392</v>
      </c>
      <c r="AY17" s="840" t="s">
        <v>20</v>
      </c>
      <c r="AZ17" s="813"/>
      <c r="BA17" s="824"/>
    </row>
    <row r="18" spans="2:53">
      <c r="B18" s="820"/>
      <c r="H18" s="824"/>
      <c r="J18" s="829"/>
      <c r="L18" s="802" t="s">
        <v>378</v>
      </c>
      <c r="M18" s="819">
        <f>M17/$E$10</f>
        <v>6.1987507507507505E-2</v>
      </c>
      <c r="N18" s="819">
        <f>N17/$E$10</f>
        <v>9.2911261261261258E-2</v>
      </c>
      <c r="O18" s="819">
        <f>O17/$E$10</f>
        <v>0.13710501501501501</v>
      </c>
      <c r="P18" s="819">
        <f>P17/$E$17</f>
        <v>3.4361408847002776E-2</v>
      </c>
      <c r="Q18" s="819">
        <f>Q17/$E$17</f>
        <v>5.3234369261900456E-2</v>
      </c>
      <c r="R18" s="819">
        <f>R17/$E$17</f>
        <v>8.0177329676798137E-2</v>
      </c>
      <c r="T18" s="829"/>
      <c r="W18" s="829"/>
      <c r="Y18" s="802" t="s">
        <v>378</v>
      </c>
      <c r="Z18" s="819">
        <f>Z17/$E$10</f>
        <v>6.1987507507507505E-2</v>
      </c>
      <c r="AA18" s="819">
        <f>AA17/$E$10</f>
        <v>8.6849746600794336E-2</v>
      </c>
      <c r="AB18" s="819">
        <f>AB17/$E$10</f>
        <v>0.111641</v>
      </c>
      <c r="AC18" s="819">
        <f>AC17/$E$17</f>
        <v>3.4361408847002776E-2</v>
      </c>
      <c r="AD18" s="819">
        <f>AD17/$E$17</f>
        <v>4.1623369261900453E-2</v>
      </c>
      <c r="AE18" s="819">
        <f>AE17/$E$17</f>
        <v>4.8885329676798137E-2</v>
      </c>
      <c r="AG18" s="829"/>
      <c r="AU18" s="820"/>
      <c r="BA18" s="824"/>
    </row>
    <row r="19" spans="2:53">
      <c r="B19" s="820"/>
      <c r="C19" s="824"/>
      <c r="D19" s="824"/>
      <c r="E19" s="824"/>
      <c r="F19" s="824"/>
      <c r="G19" s="824"/>
      <c r="H19" s="824"/>
      <c r="J19" s="829"/>
      <c r="T19" s="829"/>
      <c r="W19" s="829"/>
      <c r="AG19" s="829"/>
      <c r="AU19" s="820"/>
      <c r="AV19" s="824"/>
      <c r="AW19" s="824"/>
      <c r="AX19" s="824"/>
      <c r="AY19" s="824"/>
      <c r="AZ19" s="824"/>
      <c r="BA19" s="824"/>
    </row>
    <row r="20" spans="2:53">
      <c r="J20" s="829"/>
      <c r="N20" s="802" t="s">
        <v>371</v>
      </c>
      <c r="O20" s="819">
        <v>0.13819999999999999</v>
      </c>
      <c r="P20" s="819"/>
      <c r="Q20" s="819"/>
      <c r="R20" s="819">
        <v>8.0799999999999997E-2</v>
      </c>
      <c r="T20" s="829"/>
      <c r="W20" s="829"/>
      <c r="AA20" s="802" t="s">
        <v>371</v>
      </c>
      <c r="AB20" s="819">
        <v>0.111641</v>
      </c>
      <c r="AC20" s="819"/>
      <c r="AD20" s="819"/>
      <c r="AE20" s="819">
        <v>4.8884999999999998E-2</v>
      </c>
      <c r="AG20" s="829"/>
    </row>
    <row r="21" spans="2:53">
      <c r="J21" s="829"/>
      <c r="T21" s="829"/>
      <c r="W21" s="829"/>
      <c r="AG21" s="829"/>
    </row>
    <row r="22" spans="2:53">
      <c r="J22" s="829"/>
      <c r="K22" s="829"/>
      <c r="L22" s="829"/>
      <c r="M22" s="829"/>
      <c r="N22" s="829"/>
      <c r="O22" s="829"/>
      <c r="P22" s="829"/>
      <c r="Q22" s="829"/>
      <c r="R22" s="829"/>
      <c r="S22" s="829"/>
      <c r="T22" s="829"/>
      <c r="W22" s="829"/>
      <c r="X22" s="829"/>
      <c r="Y22" s="829"/>
      <c r="Z22" s="829"/>
      <c r="AA22" s="829"/>
      <c r="AB22" s="829"/>
      <c r="AC22" s="829"/>
      <c r="AD22" s="829"/>
      <c r="AE22" s="829"/>
      <c r="AF22" s="829"/>
      <c r="AG22" s="829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B8F23-0079-4F5A-8A54-58EECB128C53}">
  <sheetPr>
    <tabColor rgb="FF002D72"/>
    <pageSetUpPr fitToPage="1"/>
  </sheetPr>
  <dimension ref="A1:R12"/>
  <sheetViews>
    <sheetView workbookViewId="0"/>
  </sheetViews>
  <sheetFormatPr defaultRowHeight="15"/>
  <cols>
    <col min="1" max="2" width="9" style="780"/>
    <col min="3" max="3" width="9.375" style="780" bestFit="1" customWidth="1"/>
    <col min="4" max="7" width="9" style="780"/>
    <col min="8" max="8" width="9.625" style="780" bestFit="1" customWidth="1"/>
    <col min="9" max="16384" width="9" style="780"/>
  </cols>
  <sheetData>
    <row r="1" spans="1:18">
      <c r="A1" s="780" t="s">
        <v>359</v>
      </c>
    </row>
    <row r="2" spans="1:18">
      <c r="B2" s="776" t="s">
        <v>351</v>
      </c>
    </row>
    <row r="3" spans="1:18">
      <c r="C3" s="777" t="s">
        <v>352</v>
      </c>
      <c r="D3" s="777"/>
      <c r="E3" s="777"/>
      <c r="F3" s="777"/>
      <c r="G3" s="777"/>
      <c r="H3" s="777" t="s">
        <v>353</v>
      </c>
      <c r="I3" s="777"/>
    </row>
    <row r="4" spans="1:18">
      <c r="C4" s="778">
        <v>0.31</v>
      </c>
      <c r="D4" s="780" t="s">
        <v>354</v>
      </c>
      <c r="H4" s="778">
        <v>0.31</v>
      </c>
      <c r="I4" s="780" t="s">
        <v>354</v>
      </c>
    </row>
    <row r="6" spans="1:18">
      <c r="C6" s="781">
        <v>2.8067999999999999E-2</v>
      </c>
      <c r="D6" s="780" t="s">
        <v>355</v>
      </c>
      <c r="H6" s="781">
        <v>6.0657000000000003E-2</v>
      </c>
      <c r="I6" s="780" t="s">
        <v>356</v>
      </c>
      <c r="Q6" s="782"/>
      <c r="R6" s="782"/>
    </row>
    <row r="7" spans="1:18">
      <c r="C7" s="783">
        <v>1.9245877605173142E-2</v>
      </c>
      <c r="D7" s="780" t="s">
        <v>343</v>
      </c>
      <c r="H7" s="783">
        <v>1.9245877605173142E-2</v>
      </c>
      <c r="I7" s="780" t="s">
        <v>343</v>
      </c>
      <c r="Q7" s="782"/>
      <c r="R7" s="782"/>
    </row>
    <row r="8" spans="1:18">
      <c r="C8" s="784">
        <f>+'[1]Distribution adder'!$C$19</f>
        <v>3.3645758231194423E-3</v>
      </c>
      <c r="D8" s="780" t="s">
        <v>109</v>
      </c>
      <c r="H8" s="784">
        <f>+'[1]Distribution adder'!$C$19</f>
        <v>3.3645758231194423E-3</v>
      </c>
      <c r="I8" s="780" t="s">
        <v>109</v>
      </c>
    </row>
    <row r="9" spans="1:18">
      <c r="C9" s="785">
        <f>+'[1]Overall Put'!H33/1000</f>
        <v>1.0965797958515608E-2</v>
      </c>
      <c r="D9" s="780" t="s">
        <v>344</v>
      </c>
      <c r="H9" s="785">
        <v>2.2245806315233832E-2</v>
      </c>
      <c r="I9" s="780" t="s">
        <v>344</v>
      </c>
    </row>
    <row r="10" spans="1:18">
      <c r="C10" s="779">
        <f>+SUM(C6:C9)*C4</f>
        <v>1.9109717929910539E-2</v>
      </c>
      <c r="D10" s="780" t="s">
        <v>357</v>
      </c>
      <c r="H10" s="779">
        <f>+SUM(H6:H9)*H4</f>
        <v>3.270911052049319E-2</v>
      </c>
      <c r="I10" s="780" t="s">
        <v>357</v>
      </c>
    </row>
    <row r="11" spans="1:18">
      <c r="Q11" s="782"/>
      <c r="R11" s="782"/>
    </row>
    <row r="12" spans="1:18">
      <c r="C12" s="786">
        <f>+SUM(C6:C9)*(1+C4)</f>
        <v>8.0753969316718729E-2</v>
      </c>
      <c r="D12" s="780" t="s">
        <v>358</v>
      </c>
      <c r="H12" s="786">
        <f>+SUM(H6:H9)*(1+H4)</f>
        <v>0.13822237026401962</v>
      </c>
      <c r="I12" s="780" t="s">
        <v>358</v>
      </c>
    </row>
  </sheetData>
  <pageMargins left="0.7" right="0.7" top="0.75" bottom="0.75" header="0.3" footer="0.3"/>
  <pageSetup scale="82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43D3B-0EFD-4649-928B-50E987C76F75}">
  <sheetPr>
    <tabColor rgb="FF002D72"/>
  </sheetPr>
  <dimension ref="A1:P44"/>
  <sheetViews>
    <sheetView topLeftCell="A10" workbookViewId="0">
      <selection activeCell="J41" sqref="J41"/>
    </sheetView>
  </sheetViews>
  <sheetFormatPr defaultRowHeight="15"/>
  <cols>
    <col min="1" max="3" width="9" style="780"/>
    <col min="4" max="4" width="10.125" style="780" bestFit="1" customWidth="1"/>
    <col min="5" max="5" width="11.875" style="780" bestFit="1" customWidth="1"/>
    <col min="6" max="6" width="5.75" style="780" bestFit="1" customWidth="1"/>
    <col min="7" max="8" width="9" style="780"/>
    <col min="9" max="9" width="16.5" style="780" bestFit="1" customWidth="1"/>
    <col min="10" max="10" width="13.375" style="780" bestFit="1" customWidth="1"/>
    <col min="11" max="11" width="8.75" style="780" bestFit="1" customWidth="1"/>
    <col min="12" max="12" width="9" style="780"/>
    <col min="13" max="13" width="17.75" style="780" bestFit="1" customWidth="1"/>
    <col min="14" max="14" width="11" style="780" bestFit="1" customWidth="1"/>
    <col min="15" max="15" width="9" style="780"/>
    <col min="16" max="16" width="8.75" style="780" bestFit="1" customWidth="1"/>
    <col min="17" max="16384" width="9" style="780"/>
  </cols>
  <sheetData>
    <row r="1" spans="1:16">
      <c r="A1" s="780" t="s">
        <v>359</v>
      </c>
    </row>
    <row r="3" spans="1:16">
      <c r="B3" s="780" t="s">
        <v>7</v>
      </c>
      <c r="I3" s="855" t="s">
        <v>12</v>
      </c>
      <c r="J3" s="855"/>
      <c r="M3" s="855" t="s">
        <v>8</v>
      </c>
      <c r="N3" s="855"/>
    </row>
    <row r="4" spans="1:16">
      <c r="C4" s="780" t="s">
        <v>16</v>
      </c>
      <c r="D4" s="787">
        <v>0.55000000000000004</v>
      </c>
      <c r="E4" s="780" t="s">
        <v>17</v>
      </c>
      <c r="I4" s="780" t="s">
        <v>13</v>
      </c>
      <c r="J4" s="792">
        <v>5000</v>
      </c>
      <c r="M4" s="780" t="s">
        <v>13</v>
      </c>
      <c r="N4" s="792">
        <v>5000</v>
      </c>
    </row>
    <row r="5" spans="1:16">
      <c r="C5" s="780" t="s">
        <v>21</v>
      </c>
      <c r="D5" s="789">
        <v>4.5469999999999997E-2</v>
      </c>
      <c r="E5" s="780" t="s">
        <v>22</v>
      </c>
      <c r="F5" s="790"/>
    </row>
    <row r="6" spans="1:16">
      <c r="D6" s="789"/>
      <c r="I6" s="780" t="s">
        <v>23</v>
      </c>
      <c r="J6" s="787">
        <f>D4*365/12+J4*D5</f>
        <v>244.07916666666665</v>
      </c>
      <c r="M6" s="780" t="s">
        <v>23</v>
      </c>
      <c r="N6" s="787">
        <f>N7*N4</f>
        <v>686.5</v>
      </c>
    </row>
    <row r="7" spans="1:16">
      <c r="D7" s="787"/>
      <c r="I7" s="780" t="s">
        <v>25</v>
      </c>
      <c r="J7" s="793">
        <f>J6/J4</f>
        <v>4.8815833333333329E-2</v>
      </c>
      <c r="M7" s="780" t="s">
        <v>25</v>
      </c>
      <c r="N7" s="793">
        <v>0.13730000000000001</v>
      </c>
    </row>
    <row r="10" spans="1:16">
      <c r="M10" s="780" t="s">
        <v>18</v>
      </c>
      <c r="N10" s="794">
        <f>N7-J7</f>
        <v>8.8484166666666669E-2</v>
      </c>
    </row>
    <row r="11" spans="1:16">
      <c r="F11" s="790"/>
      <c r="N11" s="794"/>
    </row>
    <row r="12" spans="1:16">
      <c r="K12" s="780" t="s">
        <v>52</v>
      </c>
      <c r="M12" s="780" t="s">
        <v>34</v>
      </c>
      <c r="N12" s="794"/>
    </row>
    <row r="13" spans="1:16">
      <c r="M13" s="795" t="s">
        <v>53</v>
      </c>
      <c r="N13" s="794">
        <f>J7+P13</f>
        <v>6.2088458333333332E-2</v>
      </c>
      <c r="O13" s="796">
        <v>0.15</v>
      </c>
      <c r="P13" s="793">
        <f>O13*$N$10</f>
        <v>1.3272625E-2</v>
      </c>
    </row>
    <row r="14" spans="1:16">
      <c r="M14" s="795" t="s">
        <v>54</v>
      </c>
      <c r="N14" s="794">
        <f>N13+P14</f>
        <v>9.3057916666666657E-2</v>
      </c>
      <c r="O14" s="796">
        <v>0.35</v>
      </c>
      <c r="P14" s="793">
        <f t="shared" ref="P14:P15" si="0">O14*$N$10</f>
        <v>3.0969458333333331E-2</v>
      </c>
    </row>
    <row r="15" spans="1:16">
      <c r="D15" s="787"/>
      <c r="J15" s="788"/>
      <c r="M15" s="795" t="s">
        <v>55</v>
      </c>
      <c r="N15" s="794">
        <f>N14+P15</f>
        <v>0.13729999999999998</v>
      </c>
      <c r="O15" s="796">
        <v>0.5</v>
      </c>
      <c r="P15" s="793">
        <f t="shared" si="0"/>
        <v>4.4242083333333335E-2</v>
      </c>
    </row>
    <row r="16" spans="1:16">
      <c r="J16" s="791"/>
      <c r="M16" s="797"/>
      <c r="N16" s="794"/>
    </row>
    <row r="17" spans="3:14">
      <c r="I17" s="855" t="s">
        <v>32</v>
      </c>
      <c r="J17" s="855"/>
      <c r="M17" s="797"/>
      <c r="N17" s="794"/>
    </row>
    <row r="18" spans="3:14">
      <c r="D18" s="787"/>
      <c r="I18" s="780" t="s">
        <v>13</v>
      </c>
      <c r="J18" s="792">
        <f>$N$4</f>
        <v>5000</v>
      </c>
      <c r="M18" s="797"/>
      <c r="N18" s="794"/>
    </row>
    <row r="20" spans="3:14">
      <c r="C20" s="780" t="s">
        <v>16</v>
      </c>
      <c r="D20" s="787">
        <v>5</v>
      </c>
      <c r="E20" s="780" t="s">
        <v>17</v>
      </c>
      <c r="I20" s="780" t="s">
        <v>23</v>
      </c>
      <c r="J20" s="787">
        <f>SUM(M20:M22)</f>
        <v>424.50479166666673</v>
      </c>
      <c r="L20" s="780" t="s">
        <v>16</v>
      </c>
      <c r="M20" s="787">
        <f>D20*365/12</f>
        <v>152.08333333333334</v>
      </c>
      <c r="N20" s="798">
        <f>M20/$J$20</f>
        <v>0.35826058107903175</v>
      </c>
    </row>
    <row r="21" spans="3:14">
      <c r="C21" s="780" t="s">
        <v>21</v>
      </c>
      <c r="D21" s="789">
        <v>5.448429166666667E-2</v>
      </c>
      <c r="E21" s="780" t="s">
        <v>22</v>
      </c>
      <c r="I21" s="780" t="s">
        <v>25</v>
      </c>
      <c r="J21" s="793">
        <f>J20/J18</f>
        <v>8.4900958333333346E-2</v>
      </c>
      <c r="L21" s="780" t="s">
        <v>21</v>
      </c>
      <c r="M21" s="787">
        <f>J18*D21</f>
        <v>272.42145833333336</v>
      </c>
      <c r="N21" s="798">
        <f>M21/$J$20</f>
        <v>0.6417394189209682</v>
      </c>
    </row>
    <row r="22" spans="3:14">
      <c r="J22" s="799">
        <f>N13-J21</f>
        <v>-2.2812500000000013E-2</v>
      </c>
      <c r="M22" s="787"/>
      <c r="N22" s="798"/>
    </row>
    <row r="24" spans="3:14">
      <c r="L24" s="780" t="s">
        <v>41</v>
      </c>
      <c r="N24" s="800">
        <f>N22+N20</f>
        <v>0.35826058107903175</v>
      </c>
    </row>
    <row r="25" spans="3:14">
      <c r="D25" s="787"/>
      <c r="J25" s="788"/>
    </row>
    <row r="26" spans="3:14">
      <c r="J26" s="791"/>
    </row>
    <row r="27" spans="3:14">
      <c r="I27" s="855" t="s">
        <v>42</v>
      </c>
      <c r="J27" s="855"/>
    </row>
    <row r="28" spans="3:14">
      <c r="D28" s="787"/>
      <c r="I28" s="780" t="s">
        <v>13</v>
      </c>
      <c r="J28" s="792">
        <f>$N$4</f>
        <v>5000</v>
      </c>
    </row>
    <row r="30" spans="3:14">
      <c r="C30" s="780" t="s">
        <v>16</v>
      </c>
      <c r="D30" s="787">
        <v>7.5</v>
      </c>
      <c r="E30" s="780" t="s">
        <v>17</v>
      </c>
      <c r="I30" s="780" t="s">
        <v>23</v>
      </c>
      <c r="J30" s="787">
        <f>SUM(M30:M32)</f>
        <v>636.38333333333321</v>
      </c>
      <c r="L30" s="780" t="s">
        <v>16</v>
      </c>
      <c r="M30" s="787">
        <f>D30*365/12</f>
        <v>228.125</v>
      </c>
      <c r="N30" s="798">
        <f>M30/$J$30</f>
        <v>0.35847104732472573</v>
      </c>
    </row>
    <row r="31" spans="3:14">
      <c r="C31" s="780" t="s">
        <v>21</v>
      </c>
      <c r="D31" s="789">
        <v>8.165166666666665E-2</v>
      </c>
      <c r="E31" s="780" t="s">
        <v>22</v>
      </c>
      <c r="I31" s="780" t="s">
        <v>25</v>
      </c>
      <c r="J31" s="793">
        <f>J30/J28</f>
        <v>0.12727666666666665</v>
      </c>
      <c r="L31" s="780" t="s">
        <v>21</v>
      </c>
      <c r="M31" s="787">
        <f>J28*D31</f>
        <v>408.25833333333327</v>
      </c>
      <c r="N31" s="798">
        <f>M31/$J$30</f>
        <v>0.64152895267527432</v>
      </c>
    </row>
    <row r="32" spans="3:14">
      <c r="J32" s="799">
        <f>N14-J31</f>
        <v>-3.4218749999999992E-2</v>
      </c>
      <c r="M32" s="787"/>
      <c r="N32" s="798"/>
    </row>
    <row r="34" spans="3:14">
      <c r="L34" s="780" t="s">
        <v>41</v>
      </c>
      <c r="N34" s="800">
        <f>N32+N30</f>
        <v>0.35847104732472573</v>
      </c>
    </row>
    <row r="35" spans="3:14">
      <c r="J35" s="788"/>
    </row>
    <row r="36" spans="3:14">
      <c r="J36" s="791"/>
    </row>
    <row r="37" spans="3:14">
      <c r="I37" s="855" t="s">
        <v>51</v>
      </c>
      <c r="J37" s="855"/>
    </row>
    <row r="38" spans="3:14">
      <c r="D38" s="787"/>
      <c r="I38" s="780" t="s">
        <v>13</v>
      </c>
      <c r="J38" s="792">
        <f>$N$4</f>
        <v>5000</v>
      </c>
    </row>
    <row r="40" spans="3:14">
      <c r="C40" s="780" t="s">
        <v>16</v>
      </c>
      <c r="D40" s="787">
        <v>10</v>
      </c>
      <c r="E40" s="780" t="s">
        <v>17</v>
      </c>
      <c r="I40" s="780" t="s">
        <v>23</v>
      </c>
      <c r="J40" s="787">
        <f>SUM(M40:M42)</f>
        <v>914.62500000000023</v>
      </c>
      <c r="L40" s="780" t="s">
        <v>16</v>
      </c>
      <c r="M40" s="787">
        <f>D40*365/12</f>
        <v>304.16666666666669</v>
      </c>
      <c r="N40" s="798">
        <f>M40/$J$40</f>
        <v>0.33255888114436694</v>
      </c>
    </row>
    <row r="41" spans="3:14">
      <c r="C41" s="780" t="s">
        <v>21</v>
      </c>
      <c r="D41" s="789">
        <v>0.1220916666666667</v>
      </c>
      <c r="E41" s="780" t="s">
        <v>22</v>
      </c>
      <c r="I41" s="780" t="s">
        <v>25</v>
      </c>
      <c r="J41" s="793">
        <f>J40/J38</f>
        <v>0.18292500000000003</v>
      </c>
      <c r="L41" s="780" t="s">
        <v>21</v>
      </c>
      <c r="M41" s="787">
        <f>J38*D41</f>
        <v>610.45833333333348</v>
      </c>
      <c r="N41" s="798">
        <f>M41/$J$40</f>
        <v>0.66744111885563295</v>
      </c>
    </row>
    <row r="42" spans="3:14">
      <c r="J42" s="799">
        <f>N7-J41</f>
        <v>-4.5625000000000027E-2</v>
      </c>
      <c r="M42" s="787"/>
      <c r="N42" s="798"/>
    </row>
    <row r="44" spans="3:14">
      <c r="L44" s="780" t="s">
        <v>41</v>
      </c>
      <c r="N44" s="800">
        <f>N42+N40</f>
        <v>0.33255888114436694</v>
      </c>
    </row>
  </sheetData>
  <mergeCells count="5">
    <mergeCell ref="I3:J3"/>
    <mergeCell ref="M3:N3"/>
    <mergeCell ref="I17:J17"/>
    <mergeCell ref="I27:J27"/>
    <mergeCell ref="I37:J3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A8C4D-5F7D-4A10-A2CF-3CC72BA80F2D}">
  <sheetPr>
    <tabColor rgb="FF002D72"/>
  </sheetPr>
  <dimension ref="A3:P47"/>
  <sheetViews>
    <sheetView workbookViewId="0"/>
  </sheetViews>
  <sheetFormatPr defaultRowHeight="15"/>
  <cols>
    <col min="1" max="3" width="9" style="780"/>
    <col min="4" max="4" width="10.125" style="780" bestFit="1" customWidth="1"/>
    <col min="5" max="5" width="11.875" style="780" bestFit="1" customWidth="1"/>
    <col min="6" max="6" width="5.75" style="780" bestFit="1" customWidth="1"/>
    <col min="7" max="8" width="9" style="780"/>
    <col min="9" max="9" width="16.5" style="780" bestFit="1" customWidth="1"/>
    <col min="10" max="10" width="13.375" style="780" bestFit="1" customWidth="1"/>
    <col min="11" max="11" width="8.75" style="780" bestFit="1" customWidth="1"/>
    <col min="12" max="12" width="9" style="780"/>
    <col min="13" max="13" width="17.75" style="780" bestFit="1" customWidth="1"/>
    <col min="14" max="14" width="11" style="780" bestFit="1" customWidth="1"/>
    <col min="15" max="15" width="9" style="780"/>
    <col min="16" max="16" width="8.75" style="780" bestFit="1" customWidth="1"/>
    <col min="17" max="16384" width="9" style="780"/>
  </cols>
  <sheetData>
    <row r="3" spans="1:16">
      <c r="A3" s="780" t="s">
        <v>360</v>
      </c>
      <c r="I3" s="855" t="s">
        <v>12</v>
      </c>
      <c r="J3" s="855"/>
      <c r="M3" s="855" t="s">
        <v>8</v>
      </c>
      <c r="N3" s="855"/>
    </row>
    <row r="4" spans="1:16">
      <c r="C4" s="780" t="s">
        <v>16</v>
      </c>
      <c r="D4" s="787">
        <v>148.32</v>
      </c>
      <c r="E4" s="780" t="s">
        <v>67</v>
      </c>
      <c r="I4" s="780" t="s">
        <v>66</v>
      </c>
      <c r="J4" s="788">
        <v>2000</v>
      </c>
      <c r="K4" s="780" t="s">
        <v>11</v>
      </c>
      <c r="M4" s="780" t="s">
        <v>66</v>
      </c>
      <c r="N4" s="788">
        <v>2000</v>
      </c>
      <c r="O4" s="780" t="s">
        <v>11</v>
      </c>
    </row>
    <row r="5" spans="1:16">
      <c r="C5" s="780" t="s">
        <v>68</v>
      </c>
      <c r="D5" s="789">
        <v>2.1000000000000001E-2</v>
      </c>
      <c r="E5" s="780" t="s">
        <v>361</v>
      </c>
      <c r="F5" s="790">
        <v>50000</v>
      </c>
      <c r="G5" s="780" t="s">
        <v>20</v>
      </c>
      <c r="I5" s="780" t="s">
        <v>15</v>
      </c>
      <c r="J5" s="791">
        <v>0.92500000000000004</v>
      </c>
      <c r="M5" s="780" t="s">
        <v>15</v>
      </c>
      <c r="N5" s="791">
        <v>0.92500000000000004</v>
      </c>
    </row>
    <row r="6" spans="1:16">
      <c r="C6" s="780" t="s">
        <v>70</v>
      </c>
      <c r="D6" s="789">
        <v>1.857E-2</v>
      </c>
      <c r="E6" s="780" t="s">
        <v>362</v>
      </c>
      <c r="I6" s="780" t="s">
        <v>72</v>
      </c>
      <c r="J6" s="792">
        <f>J4*8760*J5</f>
        <v>16206000</v>
      </c>
      <c r="M6" s="780" t="s">
        <v>72</v>
      </c>
      <c r="N6" s="792">
        <f>N4*8760*N5</f>
        <v>16206000</v>
      </c>
    </row>
    <row r="7" spans="1:16">
      <c r="C7" s="780" t="s">
        <v>10</v>
      </c>
      <c r="D7" s="787">
        <v>4.96</v>
      </c>
      <c r="E7" s="780" t="s">
        <v>73</v>
      </c>
      <c r="I7" s="780" t="s">
        <v>13</v>
      </c>
      <c r="J7" s="792">
        <f>J6/12</f>
        <v>1350500</v>
      </c>
      <c r="M7" s="780" t="s">
        <v>13</v>
      </c>
      <c r="N7" s="792">
        <f>N6/12</f>
        <v>1350500</v>
      </c>
    </row>
    <row r="9" spans="1:16">
      <c r="I9" s="780" t="s">
        <v>23</v>
      </c>
      <c r="J9" s="787">
        <f>D4+J4*D7+D5*F5+D6*(J7-F5)</f>
        <v>35268.604999999996</v>
      </c>
      <c r="M9" s="780" t="s">
        <v>23</v>
      </c>
      <c r="N9" s="787">
        <f>N10*N7</f>
        <v>107904.95</v>
      </c>
    </row>
    <row r="10" spans="1:16">
      <c r="I10" s="780" t="s">
        <v>25</v>
      </c>
      <c r="J10" s="793">
        <f>J9/J7</f>
        <v>2.611522028878193E-2</v>
      </c>
      <c r="M10" s="780" t="s">
        <v>25</v>
      </c>
      <c r="N10" s="793">
        <v>7.9899999999999999E-2</v>
      </c>
    </row>
    <row r="11" spans="1:16">
      <c r="A11" s="780" t="s">
        <v>359</v>
      </c>
    </row>
    <row r="13" spans="1:16">
      <c r="M13" s="780" t="s">
        <v>18</v>
      </c>
      <c r="N13" s="794">
        <f>N10-J10</f>
        <v>5.3784779711218068E-2</v>
      </c>
    </row>
    <row r="14" spans="1:16">
      <c r="F14" s="790"/>
      <c r="N14" s="794"/>
    </row>
    <row r="15" spans="1:16">
      <c r="K15" s="780" t="s">
        <v>52</v>
      </c>
      <c r="M15" s="780" t="s">
        <v>34</v>
      </c>
      <c r="N15" s="794"/>
    </row>
    <row r="16" spans="1:16">
      <c r="M16" s="795" t="s">
        <v>53</v>
      </c>
      <c r="N16" s="794">
        <f>J10+P16</f>
        <v>3.4182937245464638E-2</v>
      </c>
      <c r="O16" s="796">
        <v>0.15</v>
      </c>
      <c r="P16" s="794">
        <f>O16*$N$13</f>
        <v>8.0677169566827096E-3</v>
      </c>
    </row>
    <row r="17" spans="3:16">
      <c r="I17" s="855" t="s">
        <v>32</v>
      </c>
      <c r="J17" s="855"/>
      <c r="M17" s="795" t="s">
        <v>54</v>
      </c>
      <c r="N17" s="794">
        <f>N16+P17</f>
        <v>5.3007610144390961E-2</v>
      </c>
      <c r="O17" s="796">
        <v>0.35</v>
      </c>
      <c r="P17" s="794">
        <f t="shared" ref="P17:P18" si="0">O17*$N$13</f>
        <v>1.8824672898926323E-2</v>
      </c>
    </row>
    <row r="18" spans="3:16">
      <c r="D18" s="787"/>
      <c r="I18" s="780" t="s">
        <v>66</v>
      </c>
      <c r="J18" s="788">
        <f>$N$4</f>
        <v>2000</v>
      </c>
      <c r="K18" s="780" t="s">
        <v>11</v>
      </c>
      <c r="M18" s="795" t="s">
        <v>55</v>
      </c>
      <c r="N18" s="794">
        <f>N17+P18</f>
        <v>7.9899999999999999E-2</v>
      </c>
      <c r="O18" s="796">
        <v>0.5</v>
      </c>
      <c r="P18" s="794">
        <f t="shared" si="0"/>
        <v>2.6892389855609034E-2</v>
      </c>
    </row>
    <row r="19" spans="3:16">
      <c r="C19" s="780" t="s">
        <v>16</v>
      </c>
      <c r="D19" s="787">
        <v>500</v>
      </c>
      <c r="E19" s="780" t="s">
        <v>67</v>
      </c>
      <c r="I19" s="780" t="s">
        <v>15</v>
      </c>
      <c r="J19" s="791">
        <v>0.92500000000000004</v>
      </c>
      <c r="M19" s="797"/>
      <c r="N19" s="794"/>
    </row>
    <row r="20" spans="3:16">
      <c r="C20" s="780" t="s">
        <v>21</v>
      </c>
      <c r="D20" s="789">
        <v>2.2187380044427982E-2</v>
      </c>
      <c r="E20" s="780" t="s">
        <v>22</v>
      </c>
      <c r="I20" s="780" t="s">
        <v>72</v>
      </c>
      <c r="J20" s="792">
        <f>J18*8760*J19</f>
        <v>16206000</v>
      </c>
      <c r="M20" s="797"/>
      <c r="N20" s="794"/>
    </row>
    <row r="21" spans="3:16">
      <c r="C21" s="780" t="s">
        <v>10</v>
      </c>
      <c r="D21" s="787">
        <v>8</v>
      </c>
      <c r="E21" s="780" t="s">
        <v>73</v>
      </c>
      <c r="I21" s="780" t="s">
        <v>13</v>
      </c>
      <c r="J21" s="792">
        <f>J20/12</f>
        <v>1350500</v>
      </c>
      <c r="M21" s="797"/>
      <c r="N21" s="794"/>
    </row>
    <row r="23" spans="3:16">
      <c r="I23" s="780" t="s">
        <v>23</v>
      </c>
      <c r="J23" s="787">
        <f>SUM(M23:M25)</f>
        <v>46464.056749999989</v>
      </c>
      <c r="L23" s="780" t="s">
        <v>16</v>
      </c>
      <c r="M23" s="787">
        <f>D19</f>
        <v>500</v>
      </c>
      <c r="N23" s="798">
        <f>M23/$J$23</f>
        <v>1.0761006140515273E-2</v>
      </c>
    </row>
    <row r="24" spans="3:16">
      <c r="I24" s="780" t="s">
        <v>25</v>
      </c>
      <c r="J24" s="793">
        <f>J23/J21</f>
        <v>3.4405077193631978E-2</v>
      </c>
      <c r="L24" s="780" t="s">
        <v>21</v>
      </c>
      <c r="M24" s="787">
        <f>J21*D20</f>
        <v>29964.056749999989</v>
      </c>
      <c r="N24" s="798">
        <f t="shared" ref="N24:N25" si="1">M24/$J$23</f>
        <v>0.64488679736299603</v>
      </c>
    </row>
    <row r="25" spans="3:16">
      <c r="J25" s="799">
        <f>N16-J24</f>
        <v>-2.2213994816733945E-4</v>
      </c>
      <c r="L25" s="780" t="s">
        <v>10</v>
      </c>
      <c r="M25" s="787">
        <f>J18*D21</f>
        <v>16000</v>
      </c>
      <c r="N25" s="798">
        <f t="shared" si="1"/>
        <v>0.34435219649648874</v>
      </c>
    </row>
    <row r="27" spans="3:16">
      <c r="I27" s="855" t="s">
        <v>42</v>
      </c>
      <c r="J27" s="855"/>
      <c r="L27" s="780" t="s">
        <v>41</v>
      </c>
      <c r="N27" s="800">
        <f>N25+N23</f>
        <v>0.35511320263700402</v>
      </c>
    </row>
    <row r="28" spans="3:16">
      <c r="D28" s="787"/>
      <c r="I28" s="780" t="s">
        <v>66</v>
      </c>
      <c r="J28" s="788">
        <f>$N$4</f>
        <v>2000</v>
      </c>
      <c r="K28" s="780" t="s">
        <v>11</v>
      </c>
    </row>
    <row r="29" spans="3:16">
      <c r="C29" s="780" t="s">
        <v>16</v>
      </c>
      <c r="D29" s="787">
        <v>750</v>
      </c>
      <c r="E29" s="780" t="s">
        <v>67</v>
      </c>
      <c r="I29" s="780" t="s">
        <v>15</v>
      </c>
      <c r="J29" s="791">
        <v>0.92500000000000004</v>
      </c>
    </row>
    <row r="30" spans="3:16">
      <c r="C30" s="780" t="s">
        <v>21</v>
      </c>
      <c r="D30" s="789">
        <v>2.4647743428359858E-2</v>
      </c>
      <c r="E30" s="780" t="s">
        <v>22</v>
      </c>
      <c r="I30" s="780" t="s">
        <v>72</v>
      </c>
      <c r="J30" s="792">
        <f>J28*8760*J29</f>
        <v>16206000</v>
      </c>
    </row>
    <row r="31" spans="3:16">
      <c r="C31" s="780" t="s">
        <v>10</v>
      </c>
      <c r="D31" s="787">
        <v>19</v>
      </c>
      <c r="E31" s="780" t="s">
        <v>73</v>
      </c>
      <c r="I31" s="780" t="s">
        <v>13</v>
      </c>
      <c r="J31" s="792">
        <f>J30/12</f>
        <v>1350500</v>
      </c>
    </row>
    <row r="33" spans="3:14">
      <c r="I33" s="780" t="s">
        <v>23</v>
      </c>
      <c r="J33" s="787">
        <f>SUM(M33:M35)</f>
        <v>72036.777499999997</v>
      </c>
      <c r="L33" s="780" t="s">
        <v>16</v>
      </c>
      <c r="M33" s="787">
        <f>D29</f>
        <v>750</v>
      </c>
      <c r="N33" s="798">
        <f>M33/$J$33</f>
        <v>1.041134856428024E-2</v>
      </c>
    </row>
    <row r="34" spans="3:14">
      <c r="I34" s="780" t="s">
        <v>25</v>
      </c>
      <c r="J34" s="793">
        <f>J33/J31</f>
        <v>5.3340820066641981E-2</v>
      </c>
      <c r="L34" s="780" t="s">
        <v>21</v>
      </c>
      <c r="M34" s="787">
        <f>J31*D30</f>
        <v>33286.777499999989</v>
      </c>
      <c r="N34" s="798">
        <f t="shared" ref="N34:N35" si="2">M34/$J$33</f>
        <v>0.4620803241788542</v>
      </c>
    </row>
    <row r="35" spans="3:14">
      <c r="J35" s="799">
        <f>N17-J34</f>
        <v>-3.3320992225101959E-4</v>
      </c>
      <c r="L35" s="780" t="s">
        <v>10</v>
      </c>
      <c r="M35" s="787">
        <f>J28*D31</f>
        <v>38000</v>
      </c>
      <c r="N35" s="798">
        <f t="shared" si="2"/>
        <v>0.52750832725686547</v>
      </c>
    </row>
    <row r="37" spans="3:14">
      <c r="I37" s="855" t="s">
        <v>51</v>
      </c>
      <c r="J37" s="855"/>
      <c r="L37" s="780" t="s">
        <v>41</v>
      </c>
      <c r="N37" s="800">
        <f>N35+N33</f>
        <v>0.53791967582114575</v>
      </c>
    </row>
    <row r="38" spans="3:14">
      <c r="I38" s="780" t="s">
        <v>66</v>
      </c>
      <c r="J38" s="788">
        <f>$N$4</f>
        <v>2000</v>
      </c>
      <c r="K38" s="780" t="s">
        <v>11</v>
      </c>
    </row>
    <row r="39" spans="3:14">
      <c r="C39" s="780" t="s">
        <v>16</v>
      </c>
      <c r="D39" s="787">
        <v>1000</v>
      </c>
      <c r="E39" s="780" t="s">
        <v>67</v>
      </c>
      <c r="I39" s="780" t="s">
        <v>15</v>
      </c>
      <c r="J39" s="791">
        <v>0.92500000000000004</v>
      </c>
    </row>
    <row r="40" spans="3:14">
      <c r="C40" s="780" t="s">
        <v>21</v>
      </c>
      <c r="D40" s="789">
        <v>3.5175823768974449E-2</v>
      </c>
      <c r="E40" s="780" t="s">
        <v>22</v>
      </c>
      <c r="I40" s="780" t="s">
        <v>72</v>
      </c>
      <c r="J40" s="792">
        <f>J38*8760*J39</f>
        <v>16206000</v>
      </c>
    </row>
    <row r="41" spans="3:14">
      <c r="C41" s="780" t="s">
        <v>10</v>
      </c>
      <c r="D41" s="787">
        <v>30</v>
      </c>
      <c r="E41" s="780" t="s">
        <v>73</v>
      </c>
      <c r="I41" s="780" t="s">
        <v>13</v>
      </c>
      <c r="J41" s="792">
        <f>J40/12</f>
        <v>1350500</v>
      </c>
    </row>
    <row r="43" spans="3:14">
      <c r="I43" s="780" t="s">
        <v>23</v>
      </c>
      <c r="J43" s="787">
        <f>SUM(M43:M45)</f>
        <v>108504.94999999998</v>
      </c>
      <c r="L43" s="780" t="s">
        <v>16</v>
      </c>
      <c r="M43" s="787">
        <f>D39</f>
        <v>1000</v>
      </c>
      <c r="N43" s="798">
        <f>M43/$J$43</f>
        <v>9.2161694005665189E-3</v>
      </c>
    </row>
    <row r="44" spans="3:14">
      <c r="I44" s="780" t="s">
        <v>25</v>
      </c>
      <c r="J44" s="793">
        <f>J43/J41</f>
        <v>8.0344279896334678E-2</v>
      </c>
      <c r="L44" s="780" t="s">
        <v>21</v>
      </c>
      <c r="M44" s="787">
        <f>J41*D40</f>
        <v>47504.94999999999</v>
      </c>
      <c r="N44" s="798">
        <f t="shared" ref="N44:N45" si="3">M44/$J$43</f>
        <v>0.43781366656544241</v>
      </c>
    </row>
    <row r="45" spans="3:14">
      <c r="J45" s="799">
        <f>N10-J44</f>
        <v>-4.442798963346789E-4</v>
      </c>
      <c r="L45" s="780" t="s">
        <v>10</v>
      </c>
      <c r="M45" s="787">
        <f>J38*D41</f>
        <v>60000</v>
      </c>
      <c r="N45" s="798">
        <f t="shared" si="3"/>
        <v>0.55297016403399113</v>
      </c>
    </row>
    <row r="47" spans="3:14">
      <c r="L47" s="780" t="s">
        <v>41</v>
      </c>
      <c r="N47" s="800">
        <f>N45+N43</f>
        <v>0.56218633343455759</v>
      </c>
    </row>
  </sheetData>
  <mergeCells count="5">
    <mergeCell ref="I3:J3"/>
    <mergeCell ref="M3:N3"/>
    <mergeCell ref="I17:J17"/>
    <mergeCell ref="I27:J27"/>
    <mergeCell ref="I37:J3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1:Y51"/>
  <sheetViews>
    <sheetView zoomScale="80" zoomScaleNormal="80" workbookViewId="0">
      <selection activeCell="K2" sqref="K2:R9"/>
    </sheetView>
  </sheetViews>
  <sheetFormatPr defaultRowHeight="15"/>
  <cols>
    <col min="1" max="1" width="3.625" style="106" customWidth="1"/>
    <col min="2" max="2" width="2.625" style="106" customWidth="1"/>
    <col min="3" max="3" width="9.25" style="106" customWidth="1"/>
    <col min="4" max="4" width="11.5" style="106" customWidth="1"/>
    <col min="5" max="5" width="25.875" style="106" customWidth="1"/>
    <col min="6" max="6" width="19.875" style="106" customWidth="1"/>
    <col min="7" max="7" width="15.25" style="106" customWidth="1"/>
    <col min="8" max="8" width="7.375" style="106" customWidth="1"/>
    <col min="9" max="9" width="2.625" style="106" customWidth="1"/>
    <col min="10" max="10" width="3.625" style="106" customWidth="1"/>
    <col min="11" max="12" width="2.625" style="106" customWidth="1"/>
    <col min="13" max="13" width="28.5" style="106" customWidth="1"/>
    <col min="14" max="14" width="14.75" style="106" customWidth="1"/>
    <col min="15" max="15" width="21.875" style="106" customWidth="1"/>
    <col min="16" max="16" width="13.5" style="106" customWidth="1"/>
    <col min="17" max="19" width="3.625" style="106" customWidth="1"/>
    <col min="20" max="20" width="10.375" style="106" customWidth="1"/>
    <col min="21" max="21" width="11.375" style="106" customWidth="1"/>
    <col min="22" max="22" width="17.625" style="106" customWidth="1"/>
    <col min="23" max="23" width="19.875" style="106" customWidth="1"/>
    <col min="24" max="24" width="13.875" style="106" customWidth="1"/>
    <col min="25" max="25" width="9.625" style="106" customWidth="1"/>
    <col min="26" max="16384" width="9" style="106"/>
  </cols>
  <sheetData>
    <row r="1" spans="2:25" ht="15.75" thickBot="1">
      <c r="B1" s="232"/>
      <c r="C1" s="232"/>
      <c r="D1" s="232"/>
      <c r="E1" s="232"/>
      <c r="F1" s="232"/>
      <c r="G1" s="232"/>
      <c r="H1" s="232"/>
      <c r="I1" s="232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</row>
    <row r="2" spans="2:25" ht="15.75" thickTop="1">
      <c r="B2" s="371"/>
      <c r="C2" s="372" t="s">
        <v>58</v>
      </c>
      <c r="D2" s="372"/>
      <c r="E2" s="372"/>
      <c r="F2" s="372"/>
      <c r="G2" s="372"/>
      <c r="H2" s="372"/>
      <c r="I2" s="373"/>
      <c r="J2" s="226"/>
      <c r="K2" s="16" t="s">
        <v>59</v>
      </c>
      <c r="L2" s="176"/>
      <c r="M2" s="227"/>
      <c r="N2" s="227"/>
      <c r="O2" s="227"/>
      <c r="P2" s="227"/>
      <c r="Q2" s="227"/>
      <c r="R2" s="228"/>
      <c r="S2" s="226"/>
      <c r="T2" s="15" t="s">
        <v>60</v>
      </c>
      <c r="U2" s="374"/>
      <c r="V2" s="374"/>
      <c r="W2" s="374"/>
      <c r="X2" s="374"/>
      <c r="Y2" s="375"/>
    </row>
    <row r="3" spans="2:25">
      <c r="B3" s="376"/>
      <c r="C3" s="377"/>
      <c r="D3" s="377"/>
      <c r="E3" s="377"/>
      <c r="F3" s="377"/>
      <c r="G3" s="377"/>
      <c r="H3" s="377"/>
      <c r="I3" s="378"/>
      <c r="J3" s="226"/>
      <c r="K3" s="230"/>
      <c r="L3" s="231"/>
      <c r="M3" s="232"/>
      <c r="N3" s="232"/>
      <c r="O3" s="233"/>
      <c r="P3" s="233"/>
      <c r="Q3" s="233"/>
      <c r="R3" s="234"/>
      <c r="S3" s="226"/>
      <c r="T3" s="379"/>
      <c r="U3" s="283"/>
      <c r="V3" s="283"/>
      <c r="W3" s="283"/>
      <c r="X3" s="283"/>
      <c r="Y3" s="380"/>
    </row>
    <row r="4" spans="2:25">
      <c r="B4" s="376"/>
      <c r="C4" s="32" t="s">
        <v>53</v>
      </c>
      <c r="D4" s="33"/>
      <c r="E4" s="33"/>
      <c r="F4" s="33"/>
      <c r="G4" s="33"/>
      <c r="H4" s="34"/>
      <c r="I4" s="44"/>
      <c r="J4" s="226"/>
      <c r="K4" s="235"/>
      <c r="L4" s="231"/>
      <c r="M4" s="236" t="s">
        <v>3</v>
      </c>
      <c r="N4" s="237"/>
      <c r="O4" s="238"/>
      <c r="P4" s="232"/>
      <c r="Q4" s="232"/>
      <c r="R4" s="239"/>
      <c r="S4" s="226"/>
      <c r="T4" s="381" t="s">
        <v>61</v>
      </c>
      <c r="U4" s="382"/>
      <c r="V4" s="383"/>
      <c r="W4" s="384" t="s">
        <v>62</v>
      </c>
      <c r="X4" s="382"/>
      <c r="Y4" s="385"/>
    </row>
    <row r="5" spans="2:25">
      <c r="B5" s="376"/>
      <c r="C5" s="386" t="s">
        <v>63</v>
      </c>
      <c r="D5" s="387"/>
      <c r="E5" s="313"/>
      <c r="F5" s="386" t="s">
        <v>64</v>
      </c>
      <c r="G5" s="33"/>
      <c r="H5" s="313"/>
      <c r="I5" s="388"/>
      <c r="J5" s="226"/>
      <c r="K5" s="235"/>
      <c r="L5" s="231"/>
      <c r="M5" s="242" t="s">
        <v>4</v>
      </c>
      <c r="N5" s="242" t="s">
        <v>5</v>
      </c>
      <c r="O5" s="242" t="s">
        <v>6</v>
      </c>
      <c r="P5" s="232"/>
      <c r="Q5" s="232"/>
      <c r="R5" s="239"/>
      <c r="S5" s="226"/>
      <c r="T5" s="389" t="s">
        <v>16</v>
      </c>
      <c r="U5" s="19">
        <v>148.32</v>
      </c>
      <c r="V5" s="390" t="s">
        <v>65</v>
      </c>
      <c r="W5" s="391" t="s">
        <v>66</v>
      </c>
      <c r="X5" s="392">
        <v>2000</v>
      </c>
      <c r="Y5" s="393" t="s">
        <v>11</v>
      </c>
    </row>
    <row r="6" spans="2:25">
      <c r="B6" s="376"/>
      <c r="C6" s="318" t="s">
        <v>16</v>
      </c>
      <c r="D6" s="317">
        <f>U25</f>
        <v>500</v>
      </c>
      <c r="E6" s="394" t="s">
        <v>67</v>
      </c>
      <c r="F6" s="318" t="s">
        <v>66</v>
      </c>
      <c r="G6" s="395">
        <f>$N$6</f>
        <v>2000</v>
      </c>
      <c r="H6" s="318" t="s">
        <v>11</v>
      </c>
      <c r="I6" s="378"/>
      <c r="J6" s="226"/>
      <c r="K6" s="235"/>
      <c r="L6" s="231"/>
      <c r="M6" s="248" t="s">
        <v>10</v>
      </c>
      <c r="N6" s="17">
        <v>2000</v>
      </c>
      <c r="O6" s="249" t="s">
        <v>11</v>
      </c>
      <c r="P6" s="232"/>
      <c r="Q6" s="232"/>
      <c r="R6" s="239"/>
      <c r="S6" s="226"/>
      <c r="T6" s="396" t="s">
        <v>68</v>
      </c>
      <c r="U6" s="20">
        <v>2.1000000000000001E-2</v>
      </c>
      <c r="V6" s="397" t="s">
        <v>69</v>
      </c>
      <c r="W6" s="398" t="s">
        <v>15</v>
      </c>
      <c r="X6" s="399">
        <v>0.92500000000000004</v>
      </c>
      <c r="Y6" s="400"/>
    </row>
    <row r="7" spans="2:25">
      <c r="B7" s="376"/>
      <c r="C7" s="322" t="s">
        <v>21</v>
      </c>
      <c r="D7" s="35">
        <v>2.2190000000000001E-2</v>
      </c>
      <c r="E7" s="401" t="s">
        <v>22</v>
      </c>
      <c r="F7" s="322" t="s">
        <v>15</v>
      </c>
      <c r="G7" s="402">
        <f>N7</f>
        <v>0.92851780801009542</v>
      </c>
      <c r="H7" s="322"/>
      <c r="I7" s="378"/>
      <c r="J7" s="226"/>
      <c r="K7" s="235"/>
      <c r="L7" s="231"/>
      <c r="M7" s="257" t="s">
        <v>15</v>
      </c>
      <c r="N7" s="18">
        <f>'Comparison With Old Rates'!U7</f>
        <v>0.92851780801009542</v>
      </c>
      <c r="O7" s="258"/>
      <c r="P7" s="232"/>
      <c r="Q7" s="232"/>
      <c r="R7" s="239"/>
      <c r="S7" s="226"/>
      <c r="T7" s="396" t="s">
        <v>70</v>
      </c>
      <c r="U7" s="20">
        <v>1.857E-2</v>
      </c>
      <c r="V7" s="397" t="s">
        <v>71</v>
      </c>
      <c r="W7" s="398" t="s">
        <v>72</v>
      </c>
      <c r="X7" s="403">
        <f>X5*8760*X6</f>
        <v>16206000</v>
      </c>
      <c r="Y7" s="400" t="s">
        <v>20</v>
      </c>
    </row>
    <row r="8" spans="2:25">
      <c r="B8" s="376"/>
      <c r="C8" s="326" t="s">
        <v>10</v>
      </c>
      <c r="D8" s="325">
        <f>U27</f>
        <v>8</v>
      </c>
      <c r="E8" s="404" t="s">
        <v>73</v>
      </c>
      <c r="F8" s="322" t="s">
        <v>74</v>
      </c>
      <c r="G8" s="405">
        <f>G6*8760*G7</f>
        <v>16267631.996336872</v>
      </c>
      <c r="H8" s="322" t="s">
        <v>20</v>
      </c>
      <c r="I8" s="378"/>
      <c r="J8" s="226"/>
      <c r="K8" s="235"/>
      <c r="L8" s="231"/>
      <c r="M8" s="257" t="s">
        <v>19</v>
      </c>
      <c r="N8" s="263">
        <f>N6*8760*N7</f>
        <v>16267631.996336872</v>
      </c>
      <c r="O8" s="258" t="s">
        <v>20</v>
      </c>
      <c r="P8" s="232"/>
      <c r="Q8" s="232"/>
      <c r="R8" s="239"/>
      <c r="S8" s="226"/>
      <c r="T8" s="406" t="s">
        <v>10</v>
      </c>
      <c r="U8" s="21">
        <v>4.96</v>
      </c>
      <c r="V8" s="407" t="s">
        <v>75</v>
      </c>
      <c r="W8" s="408" t="s">
        <v>13</v>
      </c>
      <c r="X8" s="409">
        <f>X7/12</f>
        <v>1350500</v>
      </c>
      <c r="Y8" s="410" t="s">
        <v>20</v>
      </c>
    </row>
    <row r="9" spans="2:25">
      <c r="B9" s="376"/>
      <c r="C9" s="411"/>
      <c r="D9" s="411"/>
      <c r="E9" s="411"/>
      <c r="F9" s="326" t="s">
        <v>76</v>
      </c>
      <c r="G9" s="412">
        <f>G8/12</f>
        <v>1355635.9996947392</v>
      </c>
      <c r="H9" s="326" t="s">
        <v>20</v>
      </c>
      <c r="I9" s="378"/>
      <c r="J9" s="226"/>
      <c r="K9" s="235"/>
      <c r="L9" s="231"/>
      <c r="M9" s="267" t="s">
        <v>24</v>
      </c>
      <c r="N9" s="268">
        <f>N8/12</f>
        <v>1355635.9996947392</v>
      </c>
      <c r="O9" s="255" t="s">
        <v>20</v>
      </c>
      <c r="P9" s="232"/>
      <c r="Q9" s="232"/>
      <c r="R9" s="239"/>
      <c r="S9" s="226"/>
      <c r="T9" s="413" t="s">
        <v>77</v>
      </c>
      <c r="U9" s="251"/>
      <c r="V9" s="251"/>
      <c r="W9" s="414" t="s">
        <v>78</v>
      </c>
      <c r="X9" s="415">
        <f>ROUND(U5+X5*U8+U6*50000+U7*(X8-50000),2)</f>
        <v>35268.61</v>
      </c>
      <c r="Y9" s="416"/>
    </row>
    <row r="10" spans="2:25">
      <c r="B10" s="376"/>
      <c r="C10" s="411"/>
      <c r="D10" s="417" t="s">
        <v>79</v>
      </c>
      <c r="E10" s="411"/>
      <c r="F10" s="418" t="s">
        <v>80</v>
      </c>
      <c r="G10" s="419">
        <f>ROUND(D6+G6*D8++D7*(G9),2)</f>
        <v>46581.56</v>
      </c>
      <c r="H10" s="411" t="s">
        <v>81</v>
      </c>
      <c r="I10" s="378"/>
      <c r="J10" s="226"/>
      <c r="K10" s="235"/>
      <c r="L10" s="231"/>
      <c r="M10" s="232"/>
      <c r="N10" s="270"/>
      <c r="O10" s="232"/>
      <c r="P10" s="232"/>
      <c r="Q10" s="232"/>
      <c r="R10" s="239"/>
      <c r="S10" s="226"/>
      <c r="T10" s="413"/>
      <c r="U10" s="251"/>
      <c r="V10" s="251"/>
      <c r="W10" s="414" t="s">
        <v>18</v>
      </c>
      <c r="X10" s="420">
        <f>ROUND(X9/X8,5)</f>
        <v>2.6120000000000001E-2</v>
      </c>
      <c r="Y10" s="416"/>
    </row>
    <row r="11" spans="2:25">
      <c r="B11" s="376"/>
      <c r="C11" s="411"/>
      <c r="D11" s="411"/>
      <c r="E11" s="411"/>
      <c r="F11" s="417" t="s">
        <v>82</v>
      </c>
      <c r="G11" s="421">
        <f>ROUND(G10/G9,6)</f>
        <v>3.4361000000000003E-2</v>
      </c>
      <c r="H11" s="411" t="s">
        <v>83</v>
      </c>
      <c r="I11" s="378"/>
      <c r="J11" s="226"/>
      <c r="K11" s="235"/>
      <c r="L11" s="231"/>
      <c r="M11" s="274" t="s">
        <v>26</v>
      </c>
      <c r="N11" s="237"/>
      <c r="O11" s="238"/>
      <c r="P11" s="232"/>
      <c r="Q11" s="232"/>
      <c r="R11" s="239"/>
      <c r="S11" s="226"/>
      <c r="T11" s="413"/>
      <c r="U11" s="251"/>
      <c r="V11" s="251"/>
      <c r="W11" s="22" t="s">
        <v>28</v>
      </c>
      <c r="X11" s="14">
        <v>7.9899999999999999E-2</v>
      </c>
      <c r="Y11" s="416"/>
    </row>
    <row r="12" spans="2:25">
      <c r="B12" s="376"/>
      <c r="C12" s="40" t="s">
        <v>54</v>
      </c>
      <c r="D12" s="41"/>
      <c r="E12" s="41"/>
      <c r="F12" s="41"/>
      <c r="G12" s="41"/>
      <c r="H12" s="42"/>
      <c r="I12" s="44"/>
      <c r="J12" s="226"/>
      <c r="K12" s="235"/>
      <c r="L12" s="231"/>
      <c r="M12" s="275" t="s">
        <v>27</v>
      </c>
      <c r="N12" s="7">
        <f>F40</f>
        <v>4.8884999999999998E-2</v>
      </c>
      <c r="O12" s="8" t="s">
        <v>28</v>
      </c>
      <c r="P12" s="6"/>
      <c r="Q12" s="177"/>
      <c r="R12" s="239"/>
      <c r="S12" s="226"/>
      <c r="T12" s="413"/>
      <c r="U12" s="251"/>
      <c r="V12" s="251"/>
      <c r="W12" s="414" t="s">
        <v>18</v>
      </c>
      <c r="X12" s="422" t="e">
        <f>X15-X10</f>
        <v>#VALUE!</v>
      </c>
      <c r="Y12" s="416"/>
    </row>
    <row r="13" spans="2:25">
      <c r="B13" s="376"/>
      <c r="C13" s="423" t="s">
        <v>84</v>
      </c>
      <c r="D13" s="424"/>
      <c r="E13" s="332"/>
      <c r="F13" s="423" t="s">
        <v>85</v>
      </c>
      <c r="G13" s="41"/>
      <c r="H13" s="332"/>
      <c r="I13" s="388"/>
      <c r="J13" s="226"/>
      <c r="K13" s="235"/>
      <c r="L13" s="231"/>
      <c r="M13" s="277" t="s">
        <v>29</v>
      </c>
      <c r="N13" s="9">
        <v>3.4182937245464597E-2</v>
      </c>
      <c r="O13" s="10" t="s">
        <v>30</v>
      </c>
      <c r="P13" s="232"/>
      <c r="Q13" s="231"/>
      <c r="R13" s="239"/>
      <c r="S13" s="226"/>
      <c r="T13" s="425"/>
      <c r="U13" s="414"/>
      <c r="V13" s="426"/>
      <c r="W13" s="251"/>
      <c r="X13" s="251"/>
      <c r="Y13" s="416"/>
    </row>
    <row r="14" spans="2:25">
      <c r="B14" s="376"/>
      <c r="C14" s="336" t="s">
        <v>16</v>
      </c>
      <c r="D14" s="427">
        <f>U33</f>
        <v>750</v>
      </c>
      <c r="E14" s="428" t="s">
        <v>67</v>
      </c>
      <c r="F14" s="336" t="s">
        <v>66</v>
      </c>
      <c r="G14" s="429">
        <f>$N$6</f>
        <v>2000</v>
      </c>
      <c r="H14" s="336" t="s">
        <v>11</v>
      </c>
      <c r="I14" s="378"/>
      <c r="J14" s="226"/>
      <c r="K14" s="235"/>
      <c r="L14" s="231"/>
      <c r="M14" s="232"/>
      <c r="N14" s="281">
        <f>N12-N19</f>
        <v>1.4702062754535401E-2</v>
      </c>
      <c r="O14" s="232" t="s">
        <v>31</v>
      </c>
      <c r="P14" s="232"/>
      <c r="Q14" s="231"/>
      <c r="R14" s="239"/>
      <c r="S14" s="226"/>
      <c r="T14" s="413"/>
      <c r="U14" s="430" t="s">
        <v>86</v>
      </c>
      <c r="V14" s="431" t="s">
        <v>87</v>
      </c>
      <c r="W14" s="432" t="s">
        <v>88</v>
      </c>
      <c r="X14" s="433" t="s">
        <v>89</v>
      </c>
      <c r="Y14" s="416"/>
    </row>
    <row r="15" spans="2:25">
      <c r="B15" s="376"/>
      <c r="C15" s="338" t="s">
        <v>21</v>
      </c>
      <c r="D15" s="43">
        <v>1.3038835161600938E-2</v>
      </c>
      <c r="E15" s="434" t="s">
        <v>22</v>
      </c>
      <c r="F15" s="338" t="s">
        <v>15</v>
      </c>
      <c r="G15" s="435">
        <f>N7</f>
        <v>0.92851780801009542</v>
      </c>
      <c r="H15" s="338"/>
      <c r="I15" s="378"/>
      <c r="J15" s="226"/>
      <c r="K15" s="235"/>
      <c r="L15" s="231"/>
      <c r="M15" s="232"/>
      <c r="N15" s="281">
        <f>N14/2</f>
        <v>7.3510313772677006E-3</v>
      </c>
      <c r="O15" s="232" t="s">
        <v>33</v>
      </c>
      <c r="P15" s="232"/>
      <c r="Q15" s="231"/>
      <c r="R15" s="239"/>
      <c r="S15" s="226"/>
      <c r="T15" s="413"/>
      <c r="U15" s="436" t="s">
        <v>90</v>
      </c>
      <c r="V15" s="437" t="s">
        <v>83</v>
      </c>
      <c r="W15" s="438" t="s">
        <v>38</v>
      </c>
      <c r="X15" s="439" t="s">
        <v>91</v>
      </c>
      <c r="Y15" s="416"/>
    </row>
    <row r="16" spans="2:25">
      <c r="B16" s="376"/>
      <c r="C16" s="342" t="s">
        <v>10</v>
      </c>
      <c r="D16" s="440">
        <f>U35</f>
        <v>19</v>
      </c>
      <c r="E16" s="441" t="s">
        <v>73</v>
      </c>
      <c r="F16" s="338" t="s">
        <v>72</v>
      </c>
      <c r="G16" s="442">
        <f>G14*8760*G15</f>
        <v>16267631.996336872</v>
      </c>
      <c r="H16" s="338"/>
      <c r="I16" s="378"/>
      <c r="J16" s="226"/>
      <c r="K16" s="235"/>
      <c r="L16" s="231"/>
      <c r="M16" s="232"/>
      <c r="N16" s="232"/>
      <c r="O16" s="232"/>
      <c r="P16" s="232"/>
      <c r="Q16" s="231"/>
      <c r="R16" s="239"/>
      <c r="S16" s="226"/>
      <c r="T16" s="425"/>
      <c r="U16" s="432" t="s">
        <v>53</v>
      </c>
      <c r="V16" s="443">
        <f>ROUND(X10+X16,5)</f>
        <v>3.4189999999999998E-2</v>
      </c>
      <c r="W16" s="444">
        <v>0.15</v>
      </c>
      <c r="X16" s="445">
        <v>8.0677169566827096E-3</v>
      </c>
      <c r="Y16" s="446"/>
    </row>
    <row r="17" spans="2:25">
      <c r="B17" s="376"/>
      <c r="C17" s="447"/>
      <c r="D17" s="447"/>
      <c r="E17" s="447"/>
      <c r="F17" s="342" t="s">
        <v>13</v>
      </c>
      <c r="G17" s="448">
        <f>G16/12</f>
        <v>1355635.9996947392</v>
      </c>
      <c r="H17" s="342"/>
      <c r="I17" s="378"/>
      <c r="J17" s="226"/>
      <c r="K17" s="235"/>
      <c r="L17" s="231"/>
      <c r="M17" s="236" t="s">
        <v>34</v>
      </c>
      <c r="N17" s="289"/>
      <c r="O17" s="290" t="s">
        <v>35</v>
      </c>
      <c r="P17" s="291"/>
      <c r="Q17" s="291"/>
      <c r="R17" s="239"/>
      <c r="S17" s="226"/>
      <c r="T17" s="425"/>
      <c r="U17" s="449" t="s">
        <v>54</v>
      </c>
      <c r="V17" s="450">
        <v>5.3007610144390961E-2</v>
      </c>
      <c r="W17" s="451">
        <v>0.35</v>
      </c>
      <c r="X17" s="452">
        <v>1.8824672898926323E-2</v>
      </c>
      <c r="Y17" s="446"/>
    </row>
    <row r="18" spans="2:25">
      <c r="B18" s="376"/>
      <c r="C18" s="447"/>
      <c r="D18" s="447"/>
      <c r="E18" s="447"/>
      <c r="F18" s="453" t="s">
        <v>80</v>
      </c>
      <c r="G18" s="454">
        <f>ROUND(D14+G14*D16++D15*(G17),2)</f>
        <v>56425.91</v>
      </c>
      <c r="H18" s="447" t="s">
        <v>81</v>
      </c>
      <c r="I18" s="378"/>
      <c r="J18" s="226"/>
      <c r="K18" s="235"/>
      <c r="L18" s="231"/>
      <c r="M18" s="293" t="s">
        <v>36</v>
      </c>
      <c r="N18" s="294" t="s">
        <v>37</v>
      </c>
      <c r="O18" s="295" t="s">
        <v>38</v>
      </c>
      <c r="P18" s="291"/>
      <c r="Q18" s="291"/>
      <c r="R18" s="239"/>
      <c r="S18" s="226"/>
      <c r="T18" s="425"/>
      <c r="U18" s="438" t="s">
        <v>55</v>
      </c>
      <c r="V18" s="455" t="str">
        <f>X15</f>
        <v>YoY Adder</v>
      </c>
      <c r="W18" s="456">
        <v>0.5</v>
      </c>
      <c r="X18" s="457">
        <v>2.6892389855609034E-2</v>
      </c>
      <c r="Y18" s="446"/>
    </row>
    <row r="19" spans="2:25">
      <c r="B19" s="376"/>
      <c r="C19" s="447"/>
      <c r="D19" s="447"/>
      <c r="E19" s="447"/>
      <c r="F19" s="458" t="s">
        <v>25</v>
      </c>
      <c r="G19" s="459">
        <f>ROUND(G18/G17,6)</f>
        <v>4.1623E-2</v>
      </c>
      <c r="H19" s="447" t="s">
        <v>83</v>
      </c>
      <c r="I19" s="378"/>
      <c r="J19" s="226"/>
      <c r="K19" s="235"/>
      <c r="L19" s="231"/>
      <c r="M19" s="297" t="s">
        <v>39</v>
      </c>
      <c r="N19" s="3">
        <f>N13</f>
        <v>3.4182937245464597E-2</v>
      </c>
      <c r="O19" s="298" t="s">
        <v>40</v>
      </c>
      <c r="P19" s="299"/>
      <c r="Q19" s="300"/>
      <c r="R19" s="301"/>
      <c r="S19" s="226"/>
      <c r="T19" s="425"/>
      <c r="U19" s="414"/>
      <c r="V19" s="426"/>
      <c r="W19" s="460"/>
      <c r="X19" s="426"/>
      <c r="Y19" s="446"/>
    </row>
    <row r="20" spans="2:25">
      <c r="B20" s="376"/>
      <c r="C20" s="36" t="s">
        <v>55</v>
      </c>
      <c r="D20" s="37"/>
      <c r="E20" s="37"/>
      <c r="F20" s="37"/>
      <c r="G20" s="37"/>
      <c r="H20" s="38"/>
      <c r="I20" s="44"/>
      <c r="J20" s="226"/>
      <c r="K20" s="235"/>
      <c r="L20" s="231"/>
      <c r="M20" s="303">
        <v>2020</v>
      </c>
      <c r="N20" s="461">
        <f>N19+$N$15</f>
        <v>4.1533968622732301E-2</v>
      </c>
      <c r="O20" s="305">
        <f>(N20-N19)/N19</f>
        <v>0.21504972859648103</v>
      </c>
      <c r="P20" s="299"/>
      <c r="Q20" s="300"/>
      <c r="R20" s="301"/>
      <c r="S20" s="226"/>
      <c r="T20" s="425"/>
      <c r="U20" s="414"/>
      <c r="V20" s="426"/>
      <c r="W20" s="460"/>
      <c r="X20" s="426"/>
      <c r="Y20" s="446"/>
    </row>
    <row r="21" spans="2:25">
      <c r="B21" s="376"/>
      <c r="C21" s="462" t="s">
        <v>84</v>
      </c>
      <c r="D21" s="463"/>
      <c r="E21" s="344"/>
      <c r="F21" s="462" t="s">
        <v>85</v>
      </c>
      <c r="G21" s="37"/>
      <c r="H21" s="344"/>
      <c r="I21" s="388"/>
      <c r="J21" s="226"/>
      <c r="K21" s="235"/>
      <c r="L21" s="231"/>
      <c r="M21" s="307">
        <v>2021</v>
      </c>
      <c r="N21" s="464">
        <f>N20+$N$15</f>
        <v>4.8884999999999998E-2</v>
      </c>
      <c r="O21" s="309">
        <f>(N21-N20)/N20</f>
        <v>0.17698841745752039</v>
      </c>
      <c r="P21" s="299"/>
      <c r="Q21" s="300"/>
      <c r="R21" s="301"/>
      <c r="S21" s="226"/>
      <c r="T21" s="425"/>
      <c r="U21" s="414"/>
      <c r="V21" s="426"/>
      <c r="W21" s="460"/>
      <c r="X21" s="426"/>
      <c r="Y21" s="446"/>
    </row>
    <row r="22" spans="2:25">
      <c r="B22" s="376"/>
      <c r="C22" s="353" t="s">
        <v>16</v>
      </c>
      <c r="D22" s="465">
        <f>U41</f>
        <v>1000</v>
      </c>
      <c r="E22" s="466" t="s">
        <v>67</v>
      </c>
      <c r="F22" s="353" t="s">
        <v>66</v>
      </c>
      <c r="G22" s="467">
        <f>$N$6</f>
        <v>2000</v>
      </c>
      <c r="H22" s="353" t="s">
        <v>11</v>
      </c>
      <c r="I22" s="378"/>
      <c r="J22" s="226"/>
      <c r="K22" s="235"/>
      <c r="L22" s="231"/>
      <c r="M22" s="310"/>
      <c r="N22" s="281"/>
      <c r="O22" s="232"/>
      <c r="P22" s="232"/>
      <c r="Q22" s="231"/>
      <c r="R22" s="239"/>
      <c r="S22" s="226"/>
      <c r="T22" s="425"/>
      <c r="U22" s="414"/>
      <c r="V22" s="426"/>
      <c r="W22" s="460"/>
      <c r="X22" s="426"/>
      <c r="Y22" s="446"/>
    </row>
    <row r="23" spans="2:25">
      <c r="B23" s="376"/>
      <c r="C23" s="359" t="s">
        <v>21</v>
      </c>
      <c r="D23" s="39">
        <v>3.8876703232018309E-3</v>
      </c>
      <c r="E23" s="468" t="s">
        <v>22</v>
      </c>
      <c r="F23" s="359" t="s">
        <v>15</v>
      </c>
      <c r="G23" s="469">
        <f>N7</f>
        <v>0.92851780801009542</v>
      </c>
      <c r="H23" s="359"/>
      <c r="I23" s="378"/>
      <c r="J23" s="226"/>
      <c r="K23" s="235"/>
      <c r="L23" s="231"/>
      <c r="M23" s="11" t="str">
        <f>"Rate beginning 4/1/"&amp;M19&amp;" Using Typical Profile - RS17"</f>
        <v>Rate beginning 4/1/2019** Using Typical Profile - RS17</v>
      </c>
      <c r="N23" s="312"/>
      <c r="O23" s="312"/>
      <c r="P23" s="313"/>
      <c r="Q23" s="314"/>
      <c r="R23" s="239"/>
      <c r="S23" s="226"/>
      <c r="T23" s="470" t="s">
        <v>92</v>
      </c>
      <c r="U23" s="471"/>
      <c r="V23" s="312"/>
      <c r="W23" s="472"/>
      <c r="X23" s="312"/>
      <c r="Y23" s="473"/>
    </row>
    <row r="24" spans="2:25">
      <c r="B24" s="376"/>
      <c r="C24" s="367" t="s">
        <v>10</v>
      </c>
      <c r="D24" s="474">
        <f>U43</f>
        <v>30</v>
      </c>
      <c r="E24" s="475" t="s">
        <v>73</v>
      </c>
      <c r="F24" s="359" t="s">
        <v>72</v>
      </c>
      <c r="G24" s="476">
        <f>G22*8760*G23</f>
        <v>16267631.996336872</v>
      </c>
      <c r="H24" s="359"/>
      <c r="I24" s="378"/>
      <c r="J24" s="226"/>
      <c r="K24" s="235"/>
      <c r="L24" s="231"/>
      <c r="M24" s="315" t="s">
        <v>43</v>
      </c>
      <c r="N24" s="315" t="s">
        <v>44</v>
      </c>
      <c r="O24" s="315" t="s">
        <v>6</v>
      </c>
      <c r="P24" s="315" t="s">
        <v>45</v>
      </c>
      <c r="Q24" s="291"/>
      <c r="R24" s="239"/>
      <c r="S24" s="226"/>
      <c r="T24" s="470" t="s">
        <v>93</v>
      </c>
      <c r="U24" s="471"/>
      <c r="V24" s="471"/>
      <c r="W24" s="386" t="s">
        <v>62</v>
      </c>
      <c r="X24" s="471"/>
      <c r="Y24" s="477"/>
    </row>
    <row r="25" spans="2:25">
      <c r="B25" s="376"/>
      <c r="C25" s="478"/>
      <c r="D25" s="478"/>
      <c r="E25" s="478"/>
      <c r="F25" s="367" t="s">
        <v>13</v>
      </c>
      <c r="G25" s="479">
        <f>G24/12</f>
        <v>1355635.9996947392</v>
      </c>
      <c r="H25" s="367"/>
      <c r="I25" s="378"/>
      <c r="J25" s="226"/>
      <c r="K25" s="235"/>
      <c r="L25" s="231"/>
      <c r="M25" s="316" t="s">
        <v>46</v>
      </c>
      <c r="N25" s="317">
        <f>U25</f>
        <v>500</v>
      </c>
      <c r="O25" s="318" t="s">
        <v>67</v>
      </c>
      <c r="P25" s="319">
        <f>N25</f>
        <v>500</v>
      </c>
      <c r="Q25" s="320"/>
      <c r="R25" s="239"/>
      <c r="S25" s="226"/>
      <c r="T25" s="480" t="s">
        <v>16</v>
      </c>
      <c r="U25" s="23">
        <v>500</v>
      </c>
      <c r="V25" s="481" t="s">
        <v>65</v>
      </c>
      <c r="W25" s="318" t="s">
        <v>67</v>
      </c>
      <c r="X25" s="482">
        <f>U25</f>
        <v>500</v>
      </c>
      <c r="Y25" s="483"/>
    </row>
    <row r="26" spans="2:25">
      <c r="B26" s="376"/>
      <c r="C26" s="478"/>
      <c r="D26" s="478"/>
      <c r="E26" s="478"/>
      <c r="F26" s="484" t="s">
        <v>80</v>
      </c>
      <c r="G26" s="485">
        <f>ROUND(D22+G22*D24++D23*(G25),2)</f>
        <v>66270.27</v>
      </c>
      <c r="H26" s="478" t="s">
        <v>81</v>
      </c>
      <c r="I26" s="378"/>
      <c r="J26" s="226"/>
      <c r="K26" s="235"/>
      <c r="L26" s="231"/>
      <c r="M26" s="316" t="s">
        <v>21</v>
      </c>
      <c r="N26" s="321">
        <f>ROUND(D7,6)</f>
        <v>2.2190000000000001E-2</v>
      </c>
      <c r="O26" s="322" t="s">
        <v>22</v>
      </c>
      <c r="P26" s="323">
        <f>N26*$N$9</f>
        <v>30081.562833226264</v>
      </c>
      <c r="Q26" s="320"/>
      <c r="R26" s="239"/>
      <c r="S26" s="226"/>
      <c r="T26" s="486" t="s">
        <v>21</v>
      </c>
      <c r="U26" s="24">
        <v>2.2190000000000001E-2</v>
      </c>
      <c r="V26" s="487" t="s">
        <v>71</v>
      </c>
      <c r="W26" s="322" t="s">
        <v>22</v>
      </c>
      <c r="X26" s="488">
        <f>U26*G9</f>
        <v>30081.562833226264</v>
      </c>
      <c r="Y26" s="489"/>
    </row>
    <row r="27" spans="2:25">
      <c r="B27" s="376"/>
      <c r="C27" s="478"/>
      <c r="D27" s="478"/>
      <c r="E27" s="478"/>
      <c r="F27" s="490" t="s">
        <v>25</v>
      </c>
      <c r="G27" s="491">
        <f>ROUND(G26/G25,6)</f>
        <v>4.8884999999999998E-2</v>
      </c>
      <c r="H27" s="478" t="s">
        <v>83</v>
      </c>
      <c r="I27" s="378"/>
      <c r="J27" s="226"/>
      <c r="K27" s="235"/>
      <c r="L27" s="231"/>
      <c r="M27" s="324" t="s">
        <v>10</v>
      </c>
      <c r="N27" s="325">
        <f>U27</f>
        <v>8</v>
      </c>
      <c r="O27" s="326" t="s">
        <v>48</v>
      </c>
      <c r="P27" s="327">
        <f>N27*$N$6</f>
        <v>16000</v>
      </c>
      <c r="Q27" s="320"/>
      <c r="R27" s="239"/>
      <c r="S27" s="492"/>
      <c r="T27" s="493" t="s">
        <v>10</v>
      </c>
      <c r="U27" s="25">
        <v>8</v>
      </c>
      <c r="V27" s="494" t="s">
        <v>75</v>
      </c>
      <c r="W27" s="326" t="s">
        <v>94</v>
      </c>
      <c r="X27" s="495">
        <f>G6*D8</f>
        <v>16000</v>
      </c>
      <c r="Y27" s="496"/>
    </row>
    <row r="28" spans="2:25" ht="15.75" thickBot="1">
      <c r="B28" s="497"/>
      <c r="C28" s="498"/>
      <c r="D28" s="498"/>
      <c r="E28" s="498"/>
      <c r="F28" s="498"/>
      <c r="G28" s="498"/>
      <c r="H28" s="498"/>
      <c r="I28" s="499"/>
      <c r="J28" s="226"/>
      <c r="K28" s="235"/>
      <c r="L28" s="231"/>
      <c r="M28" s="232"/>
      <c r="N28" s="232"/>
      <c r="O28" s="328" t="s">
        <v>49</v>
      </c>
      <c r="P28" s="270">
        <f>SUM(P25:P27)</f>
        <v>46581.562833226264</v>
      </c>
      <c r="Q28" s="320"/>
      <c r="R28" s="239"/>
      <c r="S28" s="226"/>
      <c r="T28" s="413"/>
      <c r="U28" s="251"/>
      <c r="V28" s="251"/>
      <c r="W28" s="414" t="s">
        <v>49</v>
      </c>
      <c r="X28" s="302">
        <f>SUM(X25:X27)</f>
        <v>46581.562833226264</v>
      </c>
      <c r="Y28" s="416" t="s">
        <v>81</v>
      </c>
    </row>
    <row r="29" spans="2:25" ht="15.75" thickTop="1">
      <c r="B29" s="226"/>
      <c r="C29" s="226"/>
      <c r="D29" s="226"/>
      <c r="E29" s="226"/>
      <c r="F29" s="226"/>
      <c r="G29" s="226"/>
      <c r="H29" s="226"/>
      <c r="I29" s="226"/>
      <c r="J29" s="226"/>
      <c r="K29" s="235"/>
      <c r="L29" s="231"/>
      <c r="M29" s="232"/>
      <c r="N29" s="232"/>
      <c r="O29" s="328" t="s">
        <v>50</v>
      </c>
      <c r="P29" s="329">
        <f>P28/G9</f>
        <v>3.4361408847002776E-2</v>
      </c>
      <c r="Q29" s="330"/>
      <c r="R29" s="239"/>
      <c r="S29" s="226"/>
      <c r="T29" s="413"/>
      <c r="U29" s="251"/>
      <c r="V29" s="251"/>
      <c r="W29" s="414" t="s">
        <v>95</v>
      </c>
      <c r="X29" s="500">
        <f>ROUND(X28/X8,5)</f>
        <v>3.449E-2</v>
      </c>
      <c r="Y29" s="416" t="s">
        <v>83</v>
      </c>
    </row>
    <row r="30" spans="2:25">
      <c r="B30" s="226"/>
      <c r="C30" s="501" t="s">
        <v>96</v>
      </c>
      <c r="D30" s="226"/>
      <c r="E30" s="226"/>
      <c r="F30" s="226"/>
      <c r="G30" s="226"/>
      <c r="H30" s="226"/>
      <c r="I30" s="226"/>
      <c r="J30" s="226"/>
      <c r="K30" s="235"/>
      <c r="L30" s="231"/>
      <c r="M30" s="232"/>
      <c r="N30" s="232"/>
      <c r="O30" s="232"/>
      <c r="P30" s="232"/>
      <c r="Q30" s="231"/>
      <c r="R30" s="239"/>
      <c r="S30" s="226"/>
      <c r="T30" s="413"/>
      <c r="U30" s="251"/>
      <c r="V30" s="251"/>
      <c r="W30" s="251"/>
      <c r="X30" s="251"/>
      <c r="Y30" s="416"/>
    </row>
    <row r="31" spans="2:25">
      <c r="B31" s="226"/>
      <c r="C31" s="232">
        <v>1</v>
      </c>
      <c r="D31" s="232" t="s">
        <v>97</v>
      </c>
      <c r="E31" s="226"/>
      <c r="F31" s="226"/>
      <c r="G31" s="226"/>
      <c r="H31" s="226"/>
      <c r="I31" s="226"/>
      <c r="J31" s="226"/>
      <c r="K31" s="235"/>
      <c r="L31" s="231"/>
      <c r="M31" s="13" t="str">
        <f>"Rate beginning 4/1/"&amp;M20&amp;" Using Typical Profile - RS17"</f>
        <v>Rate beginning 4/1/2020 Using Typical Profile - RS17</v>
      </c>
      <c r="N31" s="331"/>
      <c r="O31" s="331"/>
      <c r="P31" s="332"/>
      <c r="Q31" s="314"/>
      <c r="R31" s="239"/>
      <c r="S31" s="226"/>
      <c r="T31" s="502" t="s">
        <v>98</v>
      </c>
      <c r="U31" s="503"/>
      <c r="V31" s="331"/>
      <c r="W31" s="331"/>
      <c r="X31" s="504"/>
      <c r="Y31" s="505"/>
    </row>
    <row r="32" spans="2:25">
      <c r="B32" s="226"/>
      <c r="C32" s="232">
        <v>2</v>
      </c>
      <c r="D32" s="232" t="s">
        <v>99</v>
      </c>
      <c r="E32" s="226"/>
      <c r="F32" s="226"/>
      <c r="G32" s="226"/>
      <c r="H32" s="226"/>
      <c r="I32" s="226"/>
      <c r="J32" s="226"/>
      <c r="K32" s="235"/>
      <c r="L32" s="231"/>
      <c r="M32" s="333" t="s">
        <v>43</v>
      </c>
      <c r="N32" s="333" t="s">
        <v>44</v>
      </c>
      <c r="O32" s="333" t="s">
        <v>6</v>
      </c>
      <c r="P32" s="333" t="s">
        <v>45</v>
      </c>
      <c r="Q32" s="291"/>
      <c r="R32" s="239"/>
      <c r="S32" s="226"/>
      <c r="T32" s="502" t="s">
        <v>93</v>
      </c>
      <c r="U32" s="503"/>
      <c r="V32" s="503"/>
      <c r="W32" s="503"/>
      <c r="X32" s="423" t="s">
        <v>62</v>
      </c>
      <c r="Y32" s="506"/>
    </row>
    <row r="33" spans="3:25">
      <c r="C33" s="232"/>
      <c r="D33" s="232"/>
      <c r="E33" s="226"/>
      <c r="F33" s="226"/>
      <c r="G33" s="226"/>
      <c r="H33" s="226"/>
      <c r="I33" s="226"/>
      <c r="J33" s="226"/>
      <c r="K33" s="235"/>
      <c r="L33" s="231"/>
      <c r="M33" s="334" t="s">
        <v>46</v>
      </c>
      <c r="N33" s="335">
        <f>D14</f>
        <v>750</v>
      </c>
      <c r="O33" s="336" t="s">
        <v>67</v>
      </c>
      <c r="P33" s="335">
        <f>N33</f>
        <v>750</v>
      </c>
      <c r="Q33" s="320"/>
      <c r="R33" s="239"/>
      <c r="S33" s="226"/>
      <c r="T33" s="507" t="s">
        <v>16</v>
      </c>
      <c r="U33" s="26">
        <v>750</v>
      </c>
      <c r="V33" s="508" t="s">
        <v>65</v>
      </c>
      <c r="W33" s="336" t="s">
        <v>67</v>
      </c>
      <c r="X33" s="509">
        <f>U33</f>
        <v>750</v>
      </c>
      <c r="Y33" s="510"/>
    </row>
    <row r="34" spans="3:25">
      <c r="C34" s="226"/>
      <c r="D34" s="226"/>
      <c r="E34" s="226"/>
      <c r="F34" s="226"/>
      <c r="G34" s="226"/>
      <c r="H34" s="226"/>
      <c r="I34" s="226"/>
      <c r="J34" s="226"/>
      <c r="K34" s="235"/>
      <c r="L34" s="231"/>
      <c r="M34" s="334" t="s">
        <v>21</v>
      </c>
      <c r="N34" s="337">
        <f>ROUND(D15,6)</f>
        <v>1.3039E-2</v>
      </c>
      <c r="O34" s="338" t="s">
        <v>22</v>
      </c>
      <c r="P34" s="339">
        <f>N34*$N$9</f>
        <v>17676.137800019704</v>
      </c>
      <c r="Q34" s="320"/>
      <c r="R34" s="239"/>
      <c r="S34" s="226"/>
      <c r="T34" s="511" t="s">
        <v>21</v>
      </c>
      <c r="U34" s="27">
        <v>2.4649999999999998E-2</v>
      </c>
      <c r="V34" s="512" t="s">
        <v>71</v>
      </c>
      <c r="W34" s="338" t="s">
        <v>22</v>
      </c>
      <c r="X34" s="513">
        <f>U34*G17</f>
        <v>33416.427392475322</v>
      </c>
      <c r="Y34" s="514"/>
    </row>
    <row r="35" spans="3:25">
      <c r="C35" s="226"/>
      <c r="D35" s="226"/>
      <c r="E35" s="226"/>
      <c r="F35" s="226"/>
      <c r="G35" s="226"/>
      <c r="H35" s="226"/>
      <c r="I35" s="226"/>
      <c r="J35" s="226"/>
      <c r="K35" s="235"/>
      <c r="L35" s="231"/>
      <c r="M35" s="340" t="s">
        <v>10</v>
      </c>
      <c r="N35" s="341">
        <f>D16</f>
        <v>19</v>
      </c>
      <c r="O35" s="342" t="s">
        <v>48</v>
      </c>
      <c r="P35" s="341">
        <f>N35*$N$6</f>
        <v>38000</v>
      </c>
      <c r="Q35" s="320"/>
      <c r="R35" s="239"/>
      <c r="S35" s="226"/>
      <c r="T35" s="515" t="s">
        <v>10</v>
      </c>
      <c r="U35" s="28">
        <v>19</v>
      </c>
      <c r="V35" s="516" t="s">
        <v>75</v>
      </c>
      <c r="W35" s="342" t="s">
        <v>94</v>
      </c>
      <c r="X35" s="517">
        <f>G14*D16</f>
        <v>38000</v>
      </c>
      <c r="Y35" s="518"/>
    </row>
    <row r="36" spans="3:25">
      <c r="C36" s="226"/>
      <c r="D36" s="226"/>
      <c r="E36" s="226"/>
      <c r="F36" s="226"/>
      <c r="G36" s="226"/>
      <c r="H36" s="226"/>
      <c r="I36" s="226"/>
      <c r="J36" s="226"/>
      <c r="K36" s="235"/>
      <c r="L36" s="231"/>
      <c r="M36" s="232"/>
      <c r="N36" s="232"/>
      <c r="O36" s="328" t="s">
        <v>49</v>
      </c>
      <c r="P36" s="270">
        <f>SUM(P33:P35)</f>
        <v>56426.1378000197</v>
      </c>
      <c r="Q36" s="320"/>
      <c r="R36" s="239"/>
      <c r="S36" s="226"/>
      <c r="T36" s="413"/>
      <c r="U36" s="251"/>
      <c r="V36" s="519"/>
      <c r="W36" s="414" t="s">
        <v>49</v>
      </c>
      <c r="X36" s="302">
        <f>SUM(X33:X35)</f>
        <v>72166.427392475322</v>
      </c>
      <c r="Y36" s="416" t="s">
        <v>81</v>
      </c>
    </row>
    <row r="37" spans="3:25">
      <c r="C37" s="226"/>
      <c r="D37" s="226"/>
      <c r="E37" s="226"/>
      <c r="F37" s="226"/>
      <c r="G37" s="226"/>
      <c r="H37" s="226"/>
      <c r="I37" s="226"/>
      <c r="J37" s="226"/>
      <c r="K37" s="235"/>
      <c r="L37" s="231"/>
      <c r="M37" s="232"/>
      <c r="N37" s="232"/>
      <c r="O37" s="328" t="s">
        <v>50</v>
      </c>
      <c r="P37" s="329">
        <f>P36/G17</f>
        <v>4.1623369261900453E-2</v>
      </c>
      <c r="Q37" s="330"/>
      <c r="R37" s="239"/>
      <c r="S37" s="492"/>
      <c r="T37" s="413"/>
      <c r="U37" s="251"/>
      <c r="V37" s="519"/>
      <c r="W37" s="414" t="s">
        <v>95</v>
      </c>
      <c r="X37" s="500">
        <f>ROUND(X36/X8,5)</f>
        <v>5.3440000000000001E-2</v>
      </c>
      <c r="Y37" s="416" t="s">
        <v>83</v>
      </c>
    </row>
    <row r="38" spans="3:25">
      <c r="C38" s="226"/>
      <c r="D38" s="242">
        <v>2019</v>
      </c>
      <c r="E38" s="242">
        <v>2020</v>
      </c>
      <c r="F38" s="242">
        <v>2021</v>
      </c>
      <c r="G38" s="226"/>
      <c r="H38" s="226"/>
      <c r="I38" s="226"/>
      <c r="J38" s="226"/>
      <c r="K38" s="235"/>
      <c r="L38" s="231"/>
      <c r="M38" s="232"/>
      <c r="N38" s="232"/>
      <c r="O38" s="232"/>
      <c r="P38" s="232"/>
      <c r="Q38" s="231"/>
      <c r="R38" s="239"/>
      <c r="S38" s="226"/>
      <c r="T38" s="413"/>
      <c r="U38" s="251"/>
      <c r="V38" s="519"/>
      <c r="W38" s="251"/>
      <c r="X38" s="251"/>
      <c r="Y38" s="416"/>
    </row>
    <row r="39" spans="3:25">
      <c r="C39" s="249" t="s">
        <v>9</v>
      </c>
      <c r="D39" s="520">
        <v>3.4361408847002776E-2</v>
      </c>
      <c r="E39" s="520">
        <v>5.3234369261900456E-2</v>
      </c>
      <c r="F39" s="520">
        <v>8.0177329676798137E-2</v>
      </c>
      <c r="G39" s="226"/>
      <c r="H39" s="226"/>
      <c r="I39" s="226"/>
      <c r="J39" s="226"/>
      <c r="K39" s="235"/>
      <c r="L39" s="231"/>
      <c r="M39" s="12" t="str">
        <f>"Rate beginning 4/1/"&amp;M21&amp;" Using Typical Profile - RS17"</f>
        <v>Rate beginning 4/1/2021 Using Typical Profile - RS17</v>
      </c>
      <c r="N39" s="343"/>
      <c r="O39" s="343"/>
      <c r="P39" s="344"/>
      <c r="Q39" s="314"/>
      <c r="R39" s="239"/>
      <c r="S39" s="226"/>
      <c r="T39" s="521" t="s">
        <v>100</v>
      </c>
      <c r="U39" s="522"/>
      <c r="V39" s="343"/>
      <c r="W39" s="343"/>
      <c r="X39" s="523"/>
      <c r="Y39" s="524"/>
    </row>
    <row r="40" spans="3:25">
      <c r="C40" s="255" t="s">
        <v>14</v>
      </c>
      <c r="D40" s="256">
        <v>3.4361408847002776E-2</v>
      </c>
      <c r="E40" s="256">
        <f>AVERAGE(D40,F40)</f>
        <v>4.1623204423501384E-2</v>
      </c>
      <c r="F40" s="256">
        <f>ROUND(RS17b_Average,6)</f>
        <v>4.8884999999999998E-2</v>
      </c>
      <c r="G40" s="226"/>
      <c r="H40" s="226"/>
      <c r="I40" s="226"/>
      <c r="J40" s="226"/>
      <c r="K40" s="235"/>
      <c r="L40" s="231"/>
      <c r="M40" s="346" t="s">
        <v>43</v>
      </c>
      <c r="N40" s="346" t="s">
        <v>44</v>
      </c>
      <c r="O40" s="346" t="s">
        <v>6</v>
      </c>
      <c r="P40" s="346" t="s">
        <v>45</v>
      </c>
      <c r="Q40" s="291"/>
      <c r="R40" s="239"/>
      <c r="S40" s="226"/>
      <c r="T40" s="521" t="s">
        <v>93</v>
      </c>
      <c r="U40" s="522"/>
      <c r="V40" s="522"/>
      <c r="W40" s="522"/>
      <c r="X40" s="462" t="s">
        <v>62</v>
      </c>
      <c r="Y40" s="525"/>
    </row>
    <row r="41" spans="3:25">
      <c r="C41" s="226" t="s">
        <v>47</v>
      </c>
      <c r="D41" s="492">
        <f>D40-P29</f>
        <v>0</v>
      </c>
      <c r="E41" s="492">
        <f>(E40-P37)*1000</f>
        <v>-1.6483839906933362E-4</v>
      </c>
      <c r="F41" s="492">
        <f>(F40-P45)*1000</f>
        <v>-3.2967679813866724E-4</v>
      </c>
      <c r="G41" s="226"/>
      <c r="H41" s="226"/>
      <c r="I41" s="226"/>
      <c r="J41" s="226"/>
      <c r="K41" s="235"/>
      <c r="L41" s="231"/>
      <c r="M41" s="351" t="s">
        <v>46</v>
      </c>
      <c r="N41" s="352">
        <f>D22</f>
        <v>1000</v>
      </c>
      <c r="O41" s="353" t="s">
        <v>67</v>
      </c>
      <c r="P41" s="352">
        <f>N41</f>
        <v>1000</v>
      </c>
      <c r="Q41" s="320"/>
      <c r="R41" s="239"/>
      <c r="S41" s="226"/>
      <c r="T41" s="526" t="s">
        <v>16</v>
      </c>
      <c r="U41" s="29">
        <v>1000</v>
      </c>
      <c r="V41" s="527" t="s">
        <v>65</v>
      </c>
      <c r="W41" s="353" t="s">
        <v>67</v>
      </c>
      <c r="X41" s="528">
        <f>U41</f>
        <v>1000</v>
      </c>
      <c r="Y41" s="529"/>
    </row>
    <row r="42" spans="3:25">
      <c r="C42" s="226"/>
      <c r="D42" s="226"/>
      <c r="E42" s="226"/>
      <c r="F42" s="226"/>
      <c r="G42" s="226"/>
      <c r="H42" s="226"/>
      <c r="I42" s="226"/>
      <c r="J42" s="226"/>
      <c r="K42" s="235"/>
      <c r="L42" s="231"/>
      <c r="M42" s="351" t="s">
        <v>21</v>
      </c>
      <c r="N42" s="358">
        <f>ROUND(D23,6)</f>
        <v>3.888E-3</v>
      </c>
      <c r="O42" s="359" t="s">
        <v>22</v>
      </c>
      <c r="P42" s="360">
        <f>N42*$N$9</f>
        <v>5270.7127668131461</v>
      </c>
      <c r="Q42" s="320"/>
      <c r="R42" s="239"/>
      <c r="S42" s="226"/>
      <c r="T42" s="530" t="s">
        <v>21</v>
      </c>
      <c r="U42" s="30">
        <v>3.5180000000000003E-2</v>
      </c>
      <c r="V42" s="531" t="s">
        <v>71</v>
      </c>
      <c r="W42" s="359" t="s">
        <v>22</v>
      </c>
      <c r="X42" s="532">
        <f>U42*G25</f>
        <v>47691.274469260927</v>
      </c>
      <c r="Y42" s="533"/>
    </row>
    <row r="43" spans="3:25">
      <c r="C43" s="226"/>
      <c r="D43" s="226"/>
      <c r="E43" s="226"/>
      <c r="F43" s="226"/>
      <c r="G43" s="226"/>
      <c r="H43" s="226"/>
      <c r="I43" s="226"/>
      <c r="J43" s="226"/>
      <c r="K43" s="235"/>
      <c r="L43" s="231"/>
      <c r="M43" s="365" t="s">
        <v>10</v>
      </c>
      <c r="N43" s="366">
        <f>D24</f>
        <v>30</v>
      </c>
      <c r="O43" s="367" t="s">
        <v>48</v>
      </c>
      <c r="P43" s="366">
        <f>N43*$N$6</f>
        <v>60000</v>
      </c>
      <c r="Q43" s="320"/>
      <c r="R43" s="239"/>
      <c r="S43" s="226"/>
      <c r="T43" s="534" t="s">
        <v>10</v>
      </c>
      <c r="U43" s="31">
        <v>30</v>
      </c>
      <c r="V43" s="535" t="s">
        <v>75</v>
      </c>
      <c r="W43" s="367" t="s">
        <v>94</v>
      </c>
      <c r="X43" s="536">
        <f>G22*D24</f>
        <v>60000</v>
      </c>
      <c r="Y43" s="537"/>
    </row>
    <row r="44" spans="3:25">
      <c r="C44" s="226"/>
      <c r="D44" s="226"/>
      <c r="E44" s="226"/>
      <c r="F44" s="226"/>
      <c r="G44" s="226"/>
      <c r="H44" s="226"/>
      <c r="I44" s="226"/>
      <c r="J44" s="226"/>
      <c r="K44" s="235"/>
      <c r="L44" s="231"/>
      <c r="M44" s="232"/>
      <c r="N44" s="232"/>
      <c r="O44" s="328" t="s">
        <v>49</v>
      </c>
      <c r="P44" s="270">
        <f>SUM(P41:P43)</f>
        <v>66270.712766813143</v>
      </c>
      <c r="Q44" s="320"/>
      <c r="R44" s="239"/>
      <c r="S44" s="226"/>
      <c r="T44" s="413"/>
      <c r="U44" s="251"/>
      <c r="V44" s="519"/>
      <c r="W44" s="251"/>
      <c r="X44" s="302">
        <f>SUM(X41:X43)</f>
        <v>108691.27446926093</v>
      </c>
      <c r="Y44" s="416" t="s">
        <v>81</v>
      </c>
    </row>
    <row r="45" spans="3:25">
      <c r="C45" s="226"/>
      <c r="D45" s="226"/>
      <c r="E45" s="226"/>
      <c r="F45" s="226"/>
      <c r="G45" s="226"/>
      <c r="H45" s="226"/>
      <c r="I45" s="226"/>
      <c r="J45" s="226"/>
      <c r="K45" s="235"/>
      <c r="L45" s="231"/>
      <c r="M45" s="232"/>
      <c r="N45" s="232"/>
      <c r="O45" s="328" t="s">
        <v>50</v>
      </c>
      <c r="P45" s="329">
        <f>P44/G25</f>
        <v>4.8885329676798137E-2</v>
      </c>
      <c r="Q45" s="329"/>
      <c r="R45" s="239"/>
      <c r="S45" s="226"/>
      <c r="T45" s="413"/>
      <c r="U45" s="251"/>
      <c r="V45" s="519"/>
      <c r="W45" s="251"/>
      <c r="X45" s="500">
        <f>ROUND(X44/X8,5)</f>
        <v>8.0479999999999996E-2</v>
      </c>
      <c r="Y45" s="416" t="s">
        <v>83</v>
      </c>
    </row>
    <row r="46" spans="3:25" ht="15.75" thickBot="1">
      <c r="C46" s="226"/>
      <c r="D46" s="226"/>
      <c r="E46" s="226"/>
      <c r="F46" s="226"/>
      <c r="G46" s="226"/>
      <c r="H46" s="226"/>
      <c r="I46" s="226"/>
      <c r="J46" s="226"/>
      <c r="K46" s="235"/>
      <c r="L46" s="226"/>
      <c r="M46" s="226"/>
      <c r="N46" s="226"/>
      <c r="O46" s="226"/>
      <c r="P46" s="226"/>
      <c r="Q46" s="226"/>
      <c r="R46" s="239"/>
      <c r="S46" s="226"/>
      <c r="T46" s="538"/>
      <c r="U46" s="539"/>
      <c r="V46" s="539"/>
      <c r="W46" s="539"/>
      <c r="X46" s="539"/>
      <c r="Y46" s="540"/>
    </row>
    <row r="47" spans="3:25" ht="16.5" thickTop="1" thickBot="1">
      <c r="C47" s="226"/>
      <c r="D47" s="226"/>
      <c r="E47" s="226"/>
      <c r="F47" s="226"/>
      <c r="G47" s="226"/>
      <c r="H47" s="226"/>
      <c r="I47" s="226"/>
      <c r="J47" s="226"/>
      <c r="K47" s="368"/>
      <c r="L47" s="369"/>
      <c r="M47" s="369"/>
      <c r="N47" s="369"/>
      <c r="O47" s="369"/>
      <c r="P47" s="369"/>
      <c r="Q47" s="369"/>
      <c r="R47" s="370"/>
      <c r="S47" s="492"/>
      <c r="T47" s="226"/>
      <c r="U47" s="226"/>
      <c r="V47" s="226"/>
      <c r="W47" s="226"/>
      <c r="X47" s="226"/>
      <c r="Y47" s="226"/>
    </row>
    <row r="48" spans="3:25" ht="15.75" thickTop="1">
      <c r="C48" s="226"/>
      <c r="D48" s="226"/>
      <c r="E48" s="226"/>
      <c r="F48" s="226"/>
      <c r="G48" s="226"/>
      <c r="H48" s="226"/>
      <c r="I48" s="226"/>
      <c r="J48" s="226"/>
      <c r="K48" s="226"/>
      <c r="L48" s="226"/>
      <c r="M48" s="226" t="s">
        <v>56</v>
      </c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26"/>
    </row>
    <row r="49" spans="2:13">
      <c r="B49" s="226"/>
      <c r="C49" s="226"/>
      <c r="D49" s="226"/>
      <c r="E49" s="232"/>
      <c r="F49" s="232"/>
      <c r="G49" s="232"/>
      <c r="H49" s="226"/>
      <c r="I49" s="226"/>
      <c r="J49" s="226"/>
      <c r="K49" s="226"/>
      <c r="L49" s="226"/>
      <c r="M49" s="226" t="s">
        <v>57</v>
      </c>
    </row>
    <row r="50" spans="2:13">
      <c r="B50" s="226"/>
      <c r="C50" s="226"/>
      <c r="D50" s="226"/>
      <c r="E50" s="232"/>
      <c r="F50" s="232"/>
      <c r="G50" s="232"/>
      <c r="H50" s="226"/>
      <c r="I50" s="226"/>
      <c r="J50" s="226"/>
      <c r="K50" s="226"/>
      <c r="L50" s="226"/>
      <c r="M50" s="226"/>
    </row>
    <row r="51" spans="2:13">
      <c r="B51" s="232"/>
      <c r="C51" s="226"/>
      <c r="D51" s="226"/>
      <c r="E51" s="232"/>
      <c r="F51" s="232"/>
      <c r="G51" s="232"/>
      <c r="H51" s="232"/>
      <c r="I51" s="232"/>
      <c r="J51" s="232"/>
      <c r="K51" s="226"/>
      <c r="L51" s="226"/>
      <c r="M51" s="226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002D72"/>
    <pageSetUpPr fitToPage="1"/>
  </sheetPr>
  <dimension ref="B2:L27"/>
  <sheetViews>
    <sheetView tabSelected="1" workbookViewId="0">
      <selection activeCell="V18" sqref="V18"/>
    </sheetView>
  </sheetViews>
  <sheetFormatPr defaultColWidth="9" defaultRowHeight="15"/>
  <cols>
    <col min="1" max="2" width="3.625" style="66" customWidth="1"/>
    <col min="3" max="3" width="2.625" style="66" customWidth="1"/>
    <col min="4" max="4" width="9.625" style="66" bestFit="1" customWidth="1"/>
    <col min="5" max="5" width="33.625" style="66" customWidth="1"/>
    <col min="6" max="6" width="2.625" style="66" customWidth="1"/>
    <col min="7" max="7" width="9.625" style="66" bestFit="1" customWidth="1"/>
    <col min="8" max="8" width="33.625" style="66" bestFit="1" customWidth="1"/>
    <col min="9" max="10" width="3.625" style="66" customWidth="1"/>
    <col min="11" max="16384" width="9" style="66"/>
  </cols>
  <sheetData>
    <row r="2" spans="2:10">
      <c r="B2" s="46" t="s">
        <v>101</v>
      </c>
      <c r="C2" s="46"/>
      <c r="D2" s="115"/>
      <c r="E2" s="115"/>
      <c r="F2" s="115"/>
      <c r="G2" s="115"/>
      <c r="H2" s="115"/>
      <c r="I2" s="115"/>
      <c r="J2" s="115"/>
    </row>
    <row r="3" spans="2:10">
      <c r="B3" s="115"/>
      <c r="C3" s="226"/>
      <c r="D3" s="541"/>
      <c r="E3" s="80"/>
      <c r="F3" s="81"/>
      <c r="G3" s="541"/>
      <c r="H3" s="80"/>
      <c r="I3" s="226"/>
      <c r="J3" s="115" t="s">
        <v>102</v>
      </c>
    </row>
    <row r="4" spans="2:10">
      <c r="B4" s="115"/>
      <c r="C4" s="226"/>
      <c r="D4" s="116" t="s">
        <v>103</v>
      </c>
      <c r="E4" s="238"/>
      <c r="F4" s="226"/>
      <c r="G4" s="116" t="s">
        <v>104</v>
      </c>
      <c r="H4" s="238"/>
      <c r="I4" s="226"/>
      <c r="J4" s="115" t="s">
        <v>102</v>
      </c>
    </row>
    <row r="5" spans="2:10">
      <c r="B5" s="115"/>
      <c r="C5" s="226"/>
      <c r="D5" s="118">
        <v>0.31</v>
      </c>
      <c r="E5" s="542" t="s">
        <v>105</v>
      </c>
      <c r="F5" s="226"/>
      <c r="G5" s="220">
        <f>D5</f>
        <v>0.31</v>
      </c>
      <c r="H5" s="542" t="s">
        <v>105</v>
      </c>
      <c r="I5" s="226"/>
      <c r="J5" s="115" t="s">
        <v>102</v>
      </c>
    </row>
    <row r="6" spans="2:10">
      <c r="B6" s="115"/>
      <c r="C6" s="226"/>
      <c r="D6" s="155">
        <f>ROUND(RS17b_Base_Energy_Charge,6)</f>
        <v>2.8067999999999999E-2</v>
      </c>
      <c r="E6" s="543" t="s">
        <v>106</v>
      </c>
      <c r="F6" s="226"/>
      <c r="G6" s="154">
        <f>ROUND(RS17a_Base_Energy_Charge,6)</f>
        <v>6.3100000000000003E-2</v>
      </c>
      <c r="H6" s="544" t="s">
        <v>107</v>
      </c>
      <c r="I6" s="226"/>
      <c r="J6" s="115" t="s">
        <v>102</v>
      </c>
    </row>
    <row r="7" spans="2:10">
      <c r="B7" s="115"/>
      <c r="C7" s="226"/>
      <c r="D7" s="163">
        <f>ROUND(Transmission_Call_Value_MWh/1000,6)</f>
        <v>1.921E-3</v>
      </c>
      <c r="E7" s="545" t="s">
        <v>108</v>
      </c>
      <c r="F7" s="226"/>
      <c r="G7" s="163">
        <f>ROUND(Transmission_Call_Value_MWh/1000,6)</f>
        <v>1.921E-3</v>
      </c>
      <c r="H7" s="545" t="s">
        <v>108</v>
      </c>
      <c r="I7" s="226"/>
      <c r="J7" s="115" t="s">
        <v>102</v>
      </c>
    </row>
    <row r="8" spans="2:10">
      <c r="B8" s="115"/>
      <c r="C8" s="226"/>
      <c r="D8" s="82">
        <f>ROUND(Distribution_Adder_per_MWh/1000,6)</f>
        <v>3.3649999999999999E-3</v>
      </c>
      <c r="E8" s="546" t="s">
        <v>109</v>
      </c>
      <c r="F8" s="226"/>
      <c r="G8" s="82">
        <f>ROUND(Distribution_Adder_per_MWh/1000,6)</f>
        <v>3.3649999999999999E-3</v>
      </c>
      <c r="H8" s="546" t="s">
        <v>109</v>
      </c>
      <c r="I8" s="226"/>
      <c r="J8" s="115" t="s">
        <v>102</v>
      </c>
    </row>
    <row r="9" spans="2:10">
      <c r="B9" s="115"/>
      <c r="C9" s="226"/>
      <c r="D9" s="83">
        <f>-ROUND(Departure_Loss_Per_MWh_Sold_17b/1000,6)</f>
        <v>3.9630000000000004E-3</v>
      </c>
      <c r="E9" s="117" t="s">
        <v>110</v>
      </c>
      <c r="F9" s="226"/>
      <c r="G9" s="83">
        <f>-ROUND(Departure_Loss_Per_MWh_Sold_17a/1000,6)</f>
        <v>1.6836E-2</v>
      </c>
      <c r="H9" s="547" t="s">
        <v>110</v>
      </c>
      <c r="I9" s="226"/>
      <c r="J9" s="115" t="s">
        <v>102</v>
      </c>
    </row>
    <row r="10" spans="2:10">
      <c r="B10" s="115"/>
      <c r="C10" s="226"/>
      <c r="D10" s="84">
        <f>ROUND(SUM(D6:D9)*D5,6)</f>
        <v>1.1568E-2</v>
      </c>
      <c r="E10" s="548" t="s">
        <v>111</v>
      </c>
      <c r="F10" s="226"/>
      <c r="G10" s="84">
        <f>ROUND(SUM(G6:G9)*G5,6)</f>
        <v>2.6419000000000002E-2</v>
      </c>
      <c r="H10" s="548" t="s">
        <v>111</v>
      </c>
      <c r="I10" s="226"/>
      <c r="J10" s="115" t="s">
        <v>102</v>
      </c>
    </row>
    <row r="11" spans="2:10">
      <c r="B11" s="115"/>
      <c r="C11" s="226"/>
      <c r="D11" s="549">
        <f>SUM(D6:D10)</f>
        <v>4.8884999999999998E-2</v>
      </c>
      <c r="E11" s="541" t="s">
        <v>112</v>
      </c>
      <c r="F11" s="226"/>
      <c r="G11" s="549">
        <f>SUM(G6:G10)</f>
        <v>0.111641</v>
      </c>
      <c r="H11" s="541" t="s">
        <v>113</v>
      </c>
      <c r="I11" s="226"/>
      <c r="J11" s="115" t="s">
        <v>102</v>
      </c>
    </row>
    <row r="12" spans="2:10">
      <c r="B12" s="115"/>
      <c r="C12" s="226"/>
      <c r="D12" s="549"/>
      <c r="E12" s="541"/>
      <c r="F12" s="226"/>
      <c r="G12" s="549"/>
      <c r="H12" s="541"/>
      <c r="I12" s="226"/>
      <c r="J12" s="115" t="s">
        <v>102</v>
      </c>
    </row>
    <row r="13" spans="2:10">
      <c r="B13" s="115"/>
      <c r="C13" s="226"/>
      <c r="D13" s="550">
        <v>6.0609999999999997E-2</v>
      </c>
      <c r="E13" s="226" t="s">
        <v>114</v>
      </c>
      <c r="F13" s="226"/>
      <c r="G13" s="549">
        <v>0.1065</v>
      </c>
      <c r="H13" s="226" t="s">
        <v>114</v>
      </c>
      <c r="I13" s="226"/>
      <c r="J13" s="115" t="s">
        <v>102</v>
      </c>
    </row>
    <row r="14" spans="2:10">
      <c r="B14" s="115"/>
      <c r="C14" s="226"/>
      <c r="D14" s="550">
        <v>8.0799999999999997E-2</v>
      </c>
      <c r="E14" s="226" t="s">
        <v>115</v>
      </c>
      <c r="F14" s="226"/>
      <c r="G14" s="550">
        <v>0.13819999999999999</v>
      </c>
      <c r="H14" s="226" t="s">
        <v>115</v>
      </c>
      <c r="I14" s="226"/>
      <c r="J14" s="115" t="s">
        <v>102</v>
      </c>
    </row>
    <row r="15" spans="2:10">
      <c r="B15" s="115"/>
      <c r="C15" s="226"/>
      <c r="D15" s="226"/>
      <c r="E15" s="226"/>
      <c r="F15" s="226"/>
      <c r="G15" s="226"/>
      <c r="H15" s="226"/>
      <c r="I15" s="226"/>
      <c r="J15" s="115" t="s">
        <v>102</v>
      </c>
    </row>
    <row r="16" spans="2:10">
      <c r="B16" s="115"/>
      <c r="C16" s="115"/>
      <c r="D16" s="115"/>
      <c r="E16" s="115"/>
      <c r="F16" s="115"/>
      <c r="G16" s="115"/>
      <c r="H16" s="115"/>
      <c r="I16" s="115"/>
      <c r="J16" s="115" t="s">
        <v>102</v>
      </c>
    </row>
    <row r="19" spans="4:12">
      <c r="D19" s="774"/>
      <c r="E19" s="551"/>
      <c r="F19" s="551"/>
      <c r="G19" s="551"/>
      <c r="H19" s="551"/>
    </row>
    <row r="20" spans="4:12">
      <c r="D20" s="775"/>
      <c r="E20" s="551"/>
      <c r="F20" s="551"/>
      <c r="G20" s="551"/>
      <c r="H20" s="551"/>
    </row>
    <row r="21" spans="4:12">
      <c r="D21" s="551"/>
      <c r="E21" s="551"/>
      <c r="F21" s="551"/>
      <c r="G21" s="551"/>
      <c r="H21" s="551"/>
    </row>
    <row r="22" spans="4:12">
      <c r="D22" s="119"/>
      <c r="E22" s="119"/>
      <c r="F22" s="119"/>
      <c r="G22" s="119"/>
      <c r="H22" s="119"/>
    </row>
    <row r="23" spans="4:12">
      <c r="D23" s="551"/>
      <c r="E23" s="775"/>
      <c r="F23" s="551"/>
      <c r="G23" s="551"/>
      <c r="H23" s="775"/>
    </row>
    <row r="24" spans="4:12">
      <c r="D24" s="551"/>
      <c r="E24" s="775"/>
      <c r="F24" s="551"/>
      <c r="G24" s="551"/>
      <c r="H24" s="551"/>
    </row>
    <row r="25" spans="4:12">
      <c r="D25" s="119"/>
      <c r="E25" s="119"/>
      <c r="F25" s="119"/>
      <c r="G25" s="119"/>
      <c r="H25"/>
    </row>
    <row r="26" spans="4:12">
      <c r="D26" s="119"/>
      <c r="E26" s="119"/>
      <c r="F26" s="119"/>
      <c r="G26" s="119"/>
      <c r="H26" s="119"/>
    </row>
    <row r="27" spans="4:12">
      <c r="D27" s="119"/>
      <c r="E27" s="119"/>
      <c r="F27" s="119"/>
      <c r="G27" s="119"/>
      <c r="H27" s="119"/>
      <c r="L27"/>
    </row>
  </sheetData>
  <pageMargins left="0.7" right="0.7" top="0.75" bottom="0.75" header="0.3" footer="0.3"/>
  <pageSetup scale="82" fitToHeight="0" orientation="landscape" r:id="rId1"/>
  <ignoredErrors>
    <ignoredError sqref="G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59999389629810485"/>
    <pageSetUpPr fitToPage="1"/>
  </sheetPr>
  <dimension ref="B2:Q19"/>
  <sheetViews>
    <sheetView workbookViewId="0"/>
  </sheetViews>
  <sheetFormatPr defaultColWidth="9" defaultRowHeight="15"/>
  <cols>
    <col min="1" max="2" width="3.625" style="66" customWidth="1"/>
    <col min="3" max="3" width="2.875" style="66" customWidth="1"/>
    <col min="4" max="5" width="17" style="66" customWidth="1"/>
    <col min="6" max="9" width="3.625" style="119" customWidth="1"/>
    <col min="10" max="10" width="3" style="66" customWidth="1"/>
    <col min="11" max="12" width="17.25" style="66" customWidth="1"/>
    <col min="13" max="14" width="3.625" style="66" customWidth="1"/>
    <col min="15" max="16" width="9" style="66"/>
    <col min="17" max="17" width="13.375" style="66" bestFit="1" customWidth="1"/>
    <col min="18" max="16384" width="9" style="66"/>
  </cols>
  <sheetData>
    <row r="2" spans="2:17">
      <c r="B2" s="46" t="s">
        <v>116</v>
      </c>
      <c r="C2" s="229"/>
      <c r="D2" s="229"/>
      <c r="E2" s="229"/>
      <c r="F2" s="229"/>
      <c r="G2" s="229"/>
      <c r="H2" s="551"/>
      <c r="I2" s="46" t="s">
        <v>117</v>
      </c>
      <c r="J2" s="229"/>
      <c r="K2" s="229"/>
      <c r="L2" s="229"/>
      <c r="M2" s="229"/>
      <c r="N2" s="229"/>
      <c r="O2" s="226"/>
      <c r="P2" s="226"/>
      <c r="Q2" s="226"/>
    </row>
    <row r="3" spans="2:17">
      <c r="B3" s="240"/>
      <c r="C3" s="226"/>
      <c r="D3" s="226"/>
      <c r="E3" s="226"/>
      <c r="F3" s="551"/>
      <c r="G3" s="240"/>
      <c r="H3" s="551"/>
      <c r="I3" s="240"/>
      <c r="J3" s="226"/>
      <c r="K3" s="226"/>
      <c r="L3" s="226"/>
      <c r="M3" s="226"/>
      <c r="N3" s="240"/>
      <c r="O3" s="226"/>
      <c r="P3" s="226"/>
      <c r="Q3" s="226"/>
    </row>
    <row r="4" spans="2:17">
      <c r="B4" s="240"/>
      <c r="C4" s="226"/>
      <c r="D4" s="242" t="s">
        <v>118</v>
      </c>
      <c r="E4" s="242" t="s">
        <v>119</v>
      </c>
      <c r="F4" s="291"/>
      <c r="G4" s="240"/>
      <c r="H4" s="552"/>
      <c r="I4" s="553"/>
      <c r="J4" s="226"/>
      <c r="K4" s="236" t="s">
        <v>120</v>
      </c>
      <c r="L4" s="238"/>
      <c r="M4" s="226"/>
      <c r="N4" s="240"/>
      <c r="O4" s="226"/>
      <c r="P4" s="226"/>
      <c r="Q4" s="226"/>
    </row>
    <row r="5" spans="2:17">
      <c r="B5" s="240"/>
      <c r="C5" s="226"/>
      <c r="D5" s="183" t="s">
        <v>121</v>
      </c>
      <c r="E5" s="184">
        <v>7.1040000000000006E-2</v>
      </c>
      <c r="F5" s="554"/>
      <c r="G5" s="240"/>
      <c r="H5" s="291"/>
      <c r="I5" s="555"/>
      <c r="J5" s="226"/>
      <c r="K5" s="185">
        <v>0.5</v>
      </c>
      <c r="L5" s="556">
        <f>ROUND(K5*E5+K6*E6,6)</f>
        <v>6.3100000000000003E-2</v>
      </c>
      <c r="M5" s="226"/>
      <c r="N5" s="240"/>
      <c r="O5" s="226"/>
      <c r="P5" s="226"/>
      <c r="Q5" s="226"/>
    </row>
    <row r="6" spans="2:17">
      <c r="B6" s="240"/>
      <c r="C6" s="226"/>
      <c r="D6" s="557" t="s">
        <v>122</v>
      </c>
      <c r="E6" s="558">
        <v>5.5159E-2</v>
      </c>
      <c r="F6" s="554"/>
      <c r="G6" s="240"/>
      <c r="H6" s="554"/>
      <c r="I6" s="555"/>
      <c r="J6" s="226"/>
      <c r="K6" s="559">
        <v>0.5</v>
      </c>
      <c r="L6" s="255"/>
      <c r="M6" s="226"/>
      <c r="N6" s="240"/>
      <c r="O6" s="226"/>
      <c r="P6" s="226"/>
      <c r="Q6" s="226"/>
    </row>
    <row r="7" spans="2:17">
      <c r="B7" s="240"/>
      <c r="C7" s="226"/>
      <c r="D7" s="258" t="s">
        <v>123</v>
      </c>
      <c r="E7" s="560">
        <v>5.8224999999999999E-2</v>
      </c>
      <c r="F7" s="554"/>
      <c r="G7" s="240"/>
      <c r="H7" s="554"/>
      <c r="I7" s="555"/>
      <c r="J7" s="226"/>
      <c r="K7" s="561"/>
      <c r="L7" s="232"/>
      <c r="M7" s="226"/>
      <c r="N7" s="240"/>
      <c r="O7" s="226"/>
      <c r="P7" s="226"/>
      <c r="Q7" s="226"/>
    </row>
    <row r="8" spans="2:17">
      <c r="B8" s="240"/>
      <c r="C8" s="226"/>
      <c r="D8" s="258" t="s">
        <v>124</v>
      </c>
      <c r="E8" s="560">
        <v>0.19946700000000001</v>
      </c>
      <c r="F8" s="554"/>
      <c r="G8" s="240"/>
      <c r="H8" s="554"/>
      <c r="I8" s="555"/>
      <c r="J8" s="226"/>
      <c r="K8" s="232"/>
      <c r="L8" s="232"/>
      <c r="M8" s="226"/>
      <c r="N8" s="240"/>
      <c r="O8" s="226"/>
      <c r="P8" s="226"/>
      <c r="Q8" s="226"/>
    </row>
    <row r="9" spans="2:17">
      <c r="B9" s="240"/>
      <c r="C9" s="226"/>
      <c r="D9" s="258" t="s">
        <v>125</v>
      </c>
      <c r="E9" s="560">
        <v>3.1579999999999997E-2</v>
      </c>
      <c r="F9" s="554"/>
      <c r="G9" s="240"/>
      <c r="H9" s="554"/>
      <c r="I9" s="555"/>
      <c r="J9" s="226"/>
      <c r="K9" s="236" t="s">
        <v>126</v>
      </c>
      <c r="L9" s="238"/>
      <c r="M9" s="226"/>
      <c r="N9" s="240"/>
      <c r="O9" s="226"/>
      <c r="P9" s="226"/>
      <c r="Q9" s="226"/>
    </row>
    <row r="10" spans="2:17">
      <c r="B10" s="240"/>
      <c r="C10" s="226"/>
      <c r="D10" s="562" t="s">
        <v>127</v>
      </c>
      <c r="E10" s="563">
        <v>2.8067999999999999E-2</v>
      </c>
      <c r="F10" s="554"/>
      <c r="G10" s="240"/>
      <c r="H10" s="554"/>
      <c r="I10" s="555"/>
      <c r="J10" s="226"/>
      <c r="K10" s="564">
        <v>1</v>
      </c>
      <c r="L10" s="565">
        <f>ROUND(K10*E10,6)</f>
        <v>2.8067999999999999E-2</v>
      </c>
      <c r="M10" s="226"/>
      <c r="N10" s="240"/>
      <c r="O10" s="226"/>
      <c r="P10" s="226"/>
      <c r="Q10" s="226"/>
    </row>
    <row r="11" spans="2:17">
      <c r="B11" s="240"/>
      <c r="C11" s="226"/>
      <c r="D11" s="258" t="s">
        <v>128</v>
      </c>
      <c r="E11" s="560">
        <v>2.5420999999999999E-2</v>
      </c>
      <c r="F11" s="554"/>
      <c r="G11" s="240"/>
      <c r="H11" s="554"/>
      <c r="I11" s="555"/>
      <c r="J11" s="226"/>
      <c r="K11" s="139" t="s">
        <v>129</v>
      </c>
      <c r="L11" s="232"/>
      <c r="M11" s="226"/>
      <c r="N11" s="240"/>
      <c r="O11" s="226"/>
      <c r="P11" s="226"/>
      <c r="Q11" s="226"/>
    </row>
    <row r="12" spans="2:17">
      <c r="B12" s="240"/>
      <c r="C12" s="226"/>
      <c r="D12" s="255" t="s">
        <v>130</v>
      </c>
      <c r="E12" s="566">
        <v>2.8687000000000001E-2</v>
      </c>
      <c r="F12" s="554"/>
      <c r="G12" s="240"/>
      <c r="H12" s="554"/>
      <c r="I12" s="555"/>
      <c r="J12" s="226"/>
      <c r="K12" s="140" t="s">
        <v>131</v>
      </c>
      <c r="L12" s="232"/>
      <c r="M12" s="226"/>
      <c r="N12" s="240"/>
      <c r="O12" s="226"/>
      <c r="P12" s="226"/>
      <c r="Q12" s="226"/>
    </row>
    <row r="13" spans="2:17">
      <c r="B13" s="240"/>
      <c r="C13" s="226"/>
      <c r="D13" s="153" t="s">
        <v>132</v>
      </c>
      <c r="E13" s="232"/>
      <c r="F13" s="551"/>
      <c r="G13" s="240"/>
      <c r="H13" s="554"/>
      <c r="I13" s="555"/>
      <c r="J13" s="555"/>
      <c r="K13" s="555"/>
      <c r="L13" s="555"/>
      <c r="M13" s="555"/>
      <c r="N13" s="555"/>
      <c r="O13"/>
      <c r="P13" s="226"/>
      <c r="Q13" s="226"/>
    </row>
    <row r="14" spans="2:17">
      <c r="B14" s="240"/>
      <c r="C14" s="226"/>
      <c r="D14" s="231"/>
      <c r="E14" s="232"/>
      <c r="F14" s="551"/>
      <c r="G14" s="240"/>
      <c r="H14" s="551"/>
      <c r="I14"/>
      <c r="J14"/>
      <c r="K14"/>
      <c r="L14"/>
      <c r="M14"/>
      <c r="N14"/>
      <c r="O14"/>
      <c r="P14" s="226"/>
      <c r="Q14" s="226"/>
    </row>
    <row r="15" spans="2:17">
      <c r="B15" s="240"/>
      <c r="C15" s="240"/>
      <c r="D15" s="240"/>
      <c r="E15" s="240"/>
      <c r="F15" s="240"/>
      <c r="G15" s="240"/>
      <c r="H15" s="551"/>
      <c r="I15"/>
      <c r="J15"/>
      <c r="K15"/>
      <c r="L15"/>
      <c r="M15"/>
      <c r="N15"/>
      <c r="O15"/>
      <c r="P15" s="226"/>
      <c r="Q15" s="226"/>
    </row>
    <row r="16" spans="2:17">
      <c r="B16" s="226"/>
      <c r="C16" s="226"/>
      <c r="D16" s="226"/>
      <c r="E16" s="226"/>
      <c r="F16" s="551"/>
      <c r="G16" s="551"/>
      <c r="H16" s="551"/>
      <c r="I16"/>
      <c r="J16"/>
      <c r="K16"/>
      <c r="L16"/>
      <c r="M16"/>
      <c r="N16"/>
      <c r="O16"/>
      <c r="P16" s="226"/>
      <c r="Q16" s="567"/>
    </row>
    <row r="17" spans="4:17">
      <c r="D17" s="226"/>
      <c r="E17" s="226"/>
      <c r="F17" s="551"/>
      <c r="G17" s="551"/>
      <c r="H17" s="551"/>
      <c r="I17"/>
      <c r="J17"/>
      <c r="K17"/>
      <c r="L17"/>
      <c r="M17"/>
      <c r="N17"/>
      <c r="O17"/>
      <c r="P17" s="226"/>
      <c r="Q17" s="226"/>
    </row>
    <row r="18" spans="4:17">
      <c r="D18" s="226"/>
      <c r="E18" s="226"/>
      <c r="F18" s="551"/>
      <c r="G18" s="551"/>
      <c r="H18" s="551"/>
      <c r="I18"/>
      <c r="J18"/>
      <c r="K18"/>
      <c r="L18"/>
      <c r="M18"/>
      <c r="N18"/>
      <c r="O18" s="226"/>
      <c r="P18" s="226"/>
      <c r="Q18" s="568"/>
    </row>
    <row r="19" spans="4:17">
      <c r="D19" s="226"/>
      <c r="E19" s="226"/>
      <c r="F19" s="551"/>
      <c r="G19" s="551"/>
      <c r="H19" s="551"/>
      <c r="I19" s="551"/>
      <c r="J19" s="226"/>
      <c r="K19" s="226"/>
      <c r="L19" s="226"/>
      <c r="M19" s="226"/>
      <c r="N19" s="226"/>
      <c r="O19" s="226"/>
      <c r="P19" s="226"/>
      <c r="Q19" s="569"/>
    </row>
  </sheetData>
  <pageMargins left="0.7" right="0.7" top="0.75" bottom="0.75" header="0.3" footer="0.3"/>
  <pageSetup scale="8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6" tint="0.39997558519241921"/>
    <pageSetUpPr fitToPage="1"/>
  </sheetPr>
  <dimension ref="B2:Z23"/>
  <sheetViews>
    <sheetView zoomScale="90" zoomScaleNormal="90" workbookViewId="0">
      <selection activeCell="K37" sqref="K37"/>
    </sheetView>
  </sheetViews>
  <sheetFormatPr defaultColWidth="9" defaultRowHeight="15"/>
  <cols>
    <col min="1" max="3" width="3" style="66" customWidth="1"/>
    <col min="4" max="4" width="33.25" style="66" customWidth="1"/>
    <col min="5" max="5" width="16.625" style="66" customWidth="1"/>
    <col min="6" max="10" width="3.625" style="66" customWidth="1"/>
    <col min="11" max="11" width="44.75" style="66" bestFit="1" customWidth="1"/>
    <col min="12" max="12" width="13.375" style="66" customWidth="1"/>
    <col min="13" max="14" width="3.625" style="66" customWidth="1"/>
    <col min="15" max="17" width="3" style="66" customWidth="1"/>
    <col min="18" max="18" width="11" style="66" bestFit="1" customWidth="1"/>
    <col min="19" max="19" width="8.5" style="66" bestFit="1" customWidth="1"/>
    <col min="20" max="20" width="58.75" style="66" customWidth="1"/>
    <col min="21" max="21" width="3" style="66" customWidth="1"/>
    <col min="22" max="22" width="3.625" style="66" customWidth="1"/>
    <col min="27" max="16384" width="9" style="66"/>
  </cols>
  <sheetData>
    <row r="2" spans="2:22">
      <c r="B2" s="124" t="s">
        <v>133</v>
      </c>
      <c r="C2" s="124"/>
      <c r="D2" s="124"/>
      <c r="E2" s="124"/>
      <c r="F2" s="124"/>
      <c r="G2" s="240"/>
      <c r="H2" s="226"/>
      <c r="I2" s="46" t="s">
        <v>134</v>
      </c>
      <c r="J2" s="229"/>
      <c r="K2" s="229"/>
      <c r="L2" s="229"/>
      <c r="M2" s="229"/>
      <c r="N2" s="229"/>
      <c r="O2" s="226"/>
      <c r="P2" s="46" t="s">
        <v>135</v>
      </c>
      <c r="Q2" s="229"/>
      <c r="R2" s="229"/>
      <c r="S2" s="229"/>
      <c r="T2" s="229"/>
      <c r="U2" s="229"/>
      <c r="V2" s="229"/>
    </row>
    <row r="3" spans="2:22">
      <c r="B3" s="240"/>
      <c r="C3" s="226"/>
      <c r="D3" s="226"/>
      <c r="E3" s="226"/>
      <c r="F3" s="226"/>
      <c r="G3" s="240"/>
      <c r="H3" s="226"/>
      <c r="I3" s="46"/>
      <c r="J3" s="226"/>
      <c r="K3" s="226"/>
      <c r="L3" s="226"/>
      <c r="M3" s="226"/>
      <c r="N3" s="229"/>
      <c r="O3" s="226"/>
      <c r="P3" s="46"/>
      <c r="Q3" s="226"/>
      <c r="R3" s="226"/>
      <c r="S3" s="226"/>
      <c r="T3" s="226"/>
      <c r="U3" s="226"/>
      <c r="V3" s="229"/>
    </row>
    <row r="4" spans="2:22">
      <c r="B4" s="240"/>
      <c r="C4" s="226"/>
      <c r="D4" s="226" t="s">
        <v>136</v>
      </c>
      <c r="E4" s="49">
        <f>Year_of_Incremental_Transmission_Needed-YEAR(NPV_Base_Date)</f>
        <v>3</v>
      </c>
      <c r="F4" s="226"/>
      <c r="G4" s="240"/>
      <c r="H4" s="226"/>
      <c r="I4" s="46"/>
      <c r="J4" s="226"/>
      <c r="K4" s="236" t="s">
        <v>137</v>
      </c>
      <c r="L4" s="238"/>
      <c r="M4" s="226"/>
      <c r="N4" s="229"/>
      <c r="O4" s="226"/>
      <c r="P4" s="46"/>
      <c r="Q4" s="226"/>
      <c r="R4" s="130" t="s">
        <v>138</v>
      </c>
      <c r="S4" s="130" t="s">
        <v>139</v>
      </c>
      <c r="T4" s="85"/>
      <c r="U4" s="85"/>
      <c r="V4" s="229"/>
    </row>
    <row r="5" spans="2:22">
      <c r="B5" s="240"/>
      <c r="C5" s="226"/>
      <c r="D5" s="231" t="s">
        <v>140</v>
      </c>
      <c r="E5" s="137">
        <v>3.5000000000000003E-2</v>
      </c>
      <c r="F5" s="226"/>
      <c r="G5" s="240"/>
      <c r="H5" s="226"/>
      <c r="I5" s="46"/>
      <c r="J5" s="226"/>
      <c r="K5" s="570" t="s">
        <v>141</v>
      </c>
      <c r="L5" s="571">
        <f>Transmission_Market_Dollar_MWh</f>
        <v>3.3462074380283631</v>
      </c>
      <c r="M5" s="226"/>
      <c r="N5" s="229"/>
      <c r="O5" s="226"/>
      <c r="P5" s="46"/>
      <c r="Q5" s="226"/>
      <c r="R5" s="127" t="s">
        <v>142</v>
      </c>
      <c r="S5" s="132">
        <f>Market_Price____MWh</f>
        <v>4.5609616047131256</v>
      </c>
      <c r="T5" s="226" t="s">
        <v>143</v>
      </c>
      <c r="U5" s="226"/>
      <c r="V5" s="229"/>
    </row>
    <row r="6" spans="2:22">
      <c r="B6" s="240"/>
      <c r="C6" s="226"/>
      <c r="D6" s="231" t="s">
        <v>144</v>
      </c>
      <c r="E6" s="205">
        <f>Year_of_Incremental_Transmission_Needed</f>
        <v>2023</v>
      </c>
      <c r="F6" s="226"/>
      <c r="G6" s="240"/>
      <c r="H6" s="226"/>
      <c r="I6" s="46"/>
      <c r="J6" s="226"/>
      <c r="K6" s="572" t="s">
        <v>145</v>
      </c>
      <c r="L6" s="573">
        <f>EI_Transmissoin_Cost_Dollar_MWh</f>
        <v>4.5609616047131256</v>
      </c>
      <c r="M6" s="226"/>
      <c r="N6" s="229"/>
      <c r="O6" s="226"/>
      <c r="P6" s="46"/>
      <c r="Q6" s="226"/>
      <c r="R6" s="127" t="s">
        <v>146</v>
      </c>
      <c r="S6" s="133">
        <f>Strike_Price____MWh</f>
        <v>3.3462074380283631</v>
      </c>
      <c r="T6" s="226" t="s">
        <v>147</v>
      </c>
      <c r="U6" s="226" t="s">
        <v>102</v>
      </c>
      <c r="V6" s="229"/>
    </row>
    <row r="7" spans="2:22">
      <c r="B7" s="240"/>
      <c r="C7" s="226"/>
      <c r="D7" s="231"/>
      <c r="E7" s="67"/>
      <c r="F7" s="226"/>
      <c r="G7" s="240"/>
      <c r="H7" s="226"/>
      <c r="I7" s="46"/>
      <c r="J7" s="226"/>
      <c r="K7" s="574" t="s">
        <v>148</v>
      </c>
      <c r="L7" s="575">
        <f>L6-L5</f>
        <v>1.2147541666847625</v>
      </c>
      <c r="M7" s="226"/>
      <c r="N7" s="229"/>
      <c r="O7" s="226"/>
      <c r="P7" s="46"/>
      <c r="Q7" s="226"/>
      <c r="R7" s="127" t="s">
        <v>149</v>
      </c>
      <c r="S7" s="134">
        <f>Time_to_Strike__years</f>
        <v>3</v>
      </c>
      <c r="T7" s="226" t="s">
        <v>150</v>
      </c>
      <c r="U7" s="226" t="s">
        <v>102</v>
      </c>
      <c r="V7" s="229"/>
    </row>
    <row r="8" spans="2:22">
      <c r="B8" s="240"/>
      <c r="C8" s="240"/>
      <c r="D8" s="240"/>
      <c r="E8" s="240"/>
      <c r="F8" s="240"/>
      <c r="G8" s="240"/>
      <c r="H8" s="226"/>
      <c r="I8" s="46"/>
      <c r="J8" s="226"/>
      <c r="K8" s="226"/>
      <c r="L8" s="226"/>
      <c r="M8" s="226"/>
      <c r="N8" s="229"/>
      <c r="O8" s="226"/>
      <c r="P8" s="46"/>
      <c r="Q8" s="226"/>
      <c r="R8" s="127" t="s">
        <v>151</v>
      </c>
      <c r="S8" s="206">
        <v>1.4999999999999999E-2</v>
      </c>
      <c r="T8" s="226" t="s">
        <v>152</v>
      </c>
      <c r="U8" s="85"/>
      <c r="V8" s="229"/>
    </row>
    <row r="9" spans="2:22">
      <c r="B9" s="226"/>
      <c r="C9" s="139"/>
      <c r="D9" s="226"/>
      <c r="E9" s="226"/>
      <c r="F9" s="226"/>
      <c r="G9" s="226"/>
      <c r="H9" s="226"/>
      <c r="I9" s="46"/>
      <c r="J9" s="226"/>
      <c r="K9" s="236" t="s">
        <v>153</v>
      </c>
      <c r="L9" s="238"/>
      <c r="M9" s="226"/>
      <c r="N9" s="229"/>
      <c r="O9" s="226"/>
      <c r="P9" s="46"/>
      <c r="Q9" s="226"/>
      <c r="R9" s="127" t="s">
        <v>154</v>
      </c>
      <c r="S9" s="206">
        <v>0.5</v>
      </c>
      <c r="T9" s="226" t="s">
        <v>155</v>
      </c>
      <c r="U9" s="85"/>
      <c r="V9" s="229"/>
    </row>
    <row r="10" spans="2:22">
      <c r="B10" s="226"/>
      <c r="C10" s="140"/>
      <c r="D10" s="226"/>
      <c r="E10" s="226"/>
      <c r="F10" s="226"/>
      <c r="G10" s="226"/>
      <c r="H10" s="226"/>
      <c r="I10" s="46"/>
      <c r="J10" s="226"/>
      <c r="K10" s="542" t="s">
        <v>156</v>
      </c>
      <c r="L10" s="207">
        <f>L5</f>
        <v>3.3462074380283631</v>
      </c>
      <c r="M10" s="226"/>
      <c r="N10" s="229"/>
      <c r="O10" s="226"/>
      <c r="P10" s="46"/>
      <c r="Q10" s="226"/>
      <c r="R10" s="128" t="s">
        <v>157</v>
      </c>
      <c r="S10" s="135">
        <f>(LN(F/X)+(Sigma^2/2)*T)/(Sigma*SQRT(T))</f>
        <v>0.79063025179368984</v>
      </c>
      <c r="T10" s="85" t="s">
        <v>158</v>
      </c>
      <c r="U10" s="85"/>
      <c r="V10" s="229"/>
    </row>
    <row r="11" spans="2:22">
      <c r="B11" s="226"/>
      <c r="C11" s="226"/>
      <c r="D11" s="226"/>
      <c r="E11" s="226"/>
      <c r="F11" s="226"/>
      <c r="G11" s="226"/>
      <c r="H11" s="226"/>
      <c r="I11" s="46"/>
      <c r="J11" s="226"/>
      <c r="K11" s="576" t="s">
        <v>159</v>
      </c>
      <c r="L11" s="208">
        <f>L6</f>
        <v>4.5609616047131256</v>
      </c>
      <c r="M11" s="226"/>
      <c r="N11" s="229"/>
      <c r="O11" s="226"/>
      <c r="P11" s="46"/>
      <c r="Q11" s="226"/>
      <c r="R11" s="129" t="s">
        <v>160</v>
      </c>
      <c r="S11" s="136">
        <f>S10-Sigma*SQRT(T)</f>
        <v>-7.5395151990748754E-2</v>
      </c>
      <c r="T11" s="577" t="s">
        <v>158</v>
      </c>
      <c r="U11" s="85"/>
      <c r="V11" s="229"/>
    </row>
    <row r="12" spans="2:22">
      <c r="B12" s="226"/>
      <c r="C12" s="226"/>
      <c r="D12" s="226"/>
      <c r="E12" s="226"/>
      <c r="F12" s="226"/>
      <c r="G12" s="226"/>
      <c r="H12" s="226"/>
      <c r="I12" s="46"/>
      <c r="J12" s="226"/>
      <c r="K12" s="548" t="s">
        <v>161</v>
      </c>
      <c r="L12" s="209">
        <f>E4</f>
        <v>3</v>
      </c>
      <c r="M12" s="226"/>
      <c r="N12" s="229"/>
      <c r="O12" s="226"/>
      <c r="P12" s="46"/>
      <c r="Q12" s="226"/>
      <c r="R12" s="85" t="s">
        <v>162</v>
      </c>
      <c r="S12" s="131">
        <f>EXP(-riskfree*T)*(F*NORMSDIST(_d1)-X*NORMSDIST(_d2))</f>
        <v>1.9212874808237972</v>
      </c>
      <c r="T12" s="226"/>
      <c r="U12" s="85"/>
      <c r="V12" s="229"/>
    </row>
    <row r="13" spans="2:22">
      <c r="B13" s="226"/>
      <c r="C13" s="226"/>
      <c r="D13" s="226"/>
      <c r="E13" s="226"/>
      <c r="F13" s="226"/>
      <c r="G13" s="226"/>
      <c r="H13" s="226"/>
      <c r="I13" s="46"/>
      <c r="J13" s="226"/>
      <c r="K13" s="226"/>
      <c r="L13" s="226"/>
      <c r="M13" s="226"/>
      <c r="N13" s="229"/>
      <c r="O13" s="226"/>
      <c r="P13" s="46"/>
      <c r="Q13" s="226"/>
      <c r="R13" s="226"/>
      <c r="S13" s="226"/>
      <c r="T13" s="87"/>
      <c r="U13" s="226"/>
      <c r="V13" s="229"/>
    </row>
    <row r="14" spans="2:22">
      <c r="B14" s="226"/>
      <c r="C14" s="226"/>
      <c r="D14" s="226"/>
      <c r="E14" s="226"/>
      <c r="F14" s="226"/>
      <c r="G14" s="226"/>
      <c r="H14" s="226"/>
      <c r="I14" s="46"/>
      <c r="J14" s="226"/>
      <c r="K14" s="236" t="s">
        <v>163</v>
      </c>
      <c r="L14" s="238"/>
      <c r="M14" s="226"/>
      <c r="N14" s="229"/>
      <c r="O14" s="226"/>
      <c r="P14" s="46"/>
      <c r="Q14" s="226"/>
      <c r="R14" s="85" t="s">
        <v>164</v>
      </c>
      <c r="S14" s="226"/>
      <c r="T14" s="226"/>
      <c r="U14" s="226"/>
      <c r="V14" s="229"/>
    </row>
    <row r="15" spans="2:22">
      <c r="B15" s="226"/>
      <c r="C15" s="226"/>
      <c r="D15" s="226"/>
      <c r="E15" s="578"/>
      <c r="F15" s="226"/>
      <c r="G15" s="226"/>
      <c r="H15" s="226"/>
      <c r="I15" s="46"/>
      <c r="J15" s="226"/>
      <c r="K15" s="570" t="s">
        <v>165</v>
      </c>
      <c r="L15" s="571">
        <f>L7</f>
        <v>1.2147541666847625</v>
      </c>
      <c r="M15" s="226"/>
      <c r="N15" s="229"/>
      <c r="O15" s="226"/>
      <c r="P15" s="46"/>
      <c r="Q15" s="226"/>
      <c r="R15" s="86" t="s">
        <v>166</v>
      </c>
      <c r="S15" s="226"/>
      <c r="T15" s="226"/>
      <c r="U15" s="226"/>
      <c r="V15" s="229"/>
    </row>
    <row r="16" spans="2:22">
      <c r="B16" s="226"/>
      <c r="C16" s="226"/>
      <c r="D16" s="226"/>
      <c r="E16" s="578"/>
      <c r="F16" s="226"/>
      <c r="G16" s="226"/>
      <c r="H16" s="226"/>
      <c r="I16" s="46"/>
      <c r="J16" s="226"/>
      <c r="K16" s="574" t="s">
        <v>167</v>
      </c>
      <c r="L16" s="579">
        <f>L17-L15</f>
        <v>0.70653331413903464</v>
      </c>
      <c r="M16" s="226"/>
      <c r="N16" s="229"/>
      <c r="O16" s="226"/>
      <c r="P16" s="46"/>
      <c r="Q16" s="226"/>
      <c r="R16" s="226"/>
      <c r="S16" s="226"/>
      <c r="T16" s="226"/>
      <c r="U16" s="226"/>
      <c r="V16" s="229"/>
    </row>
    <row r="17" spans="5:22">
      <c r="E17" s="226"/>
      <c r="F17" s="226"/>
      <c r="G17" s="226"/>
      <c r="H17" s="226"/>
      <c r="I17" s="46"/>
      <c r="J17" s="226"/>
      <c r="K17" s="77" t="s">
        <v>168</v>
      </c>
      <c r="L17" s="138">
        <f>model_call</f>
        <v>1.9212874808237972</v>
      </c>
      <c r="M17" s="226"/>
      <c r="N17" s="229"/>
      <c r="O17" s="226"/>
      <c r="P17" s="46"/>
      <c r="Q17" s="46"/>
      <c r="R17" s="46"/>
      <c r="S17" s="46"/>
      <c r="T17" s="46"/>
      <c r="U17" s="46"/>
      <c r="V17" s="46"/>
    </row>
    <row r="18" spans="5:22">
      <c r="E18" s="226"/>
      <c r="F18" s="226"/>
      <c r="G18" s="226"/>
      <c r="H18" s="226"/>
      <c r="I18" s="46"/>
      <c r="J18" s="226"/>
      <c r="K18" s="226"/>
      <c r="L18" s="226"/>
      <c r="M18" s="226"/>
      <c r="N18" s="229"/>
      <c r="O18" s="226"/>
      <c r="P18" s="226"/>
      <c r="Q18" s="226"/>
      <c r="R18" s="226"/>
      <c r="S18" s="226"/>
      <c r="T18" s="226"/>
      <c r="U18" s="226"/>
      <c r="V18" s="226"/>
    </row>
    <row r="19" spans="5:22">
      <c r="E19" s="226"/>
      <c r="F19" s="68"/>
      <c r="G19" s="226"/>
      <c r="H19" s="226"/>
      <c r="I19" s="46"/>
      <c r="J19" s="46"/>
      <c r="K19" s="46"/>
      <c r="L19" s="46"/>
      <c r="M19" s="46"/>
      <c r="N19" s="46"/>
      <c r="O19" s="226"/>
      <c r="P19" s="226"/>
      <c r="Q19" s="226"/>
      <c r="R19" s="226"/>
      <c r="S19" s="226"/>
      <c r="T19" s="226"/>
      <c r="U19" s="226"/>
      <c r="V19" s="226"/>
    </row>
    <row r="20" spans="5:22"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</row>
    <row r="21" spans="5:22">
      <c r="E21" s="580"/>
      <c r="F21" s="580"/>
      <c r="G21" s="580"/>
      <c r="H21" s="226"/>
      <c r="I21" s="226"/>
      <c r="J21" s="226"/>
      <c r="K21" s="226"/>
      <c r="L21" s="226"/>
      <c r="M21" s="226"/>
      <c r="N21" s="226"/>
      <c r="O21" s="226"/>
      <c r="P21" s="226"/>
      <c r="Q21" s="226"/>
      <c r="R21" s="226"/>
      <c r="S21" s="226"/>
      <c r="T21" s="226"/>
      <c r="U21" s="226"/>
      <c r="V21" s="226"/>
    </row>
    <row r="22" spans="5:22">
      <c r="E22" s="580"/>
      <c r="F22" s="580"/>
      <c r="G22" s="580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6"/>
      <c r="U22" s="226"/>
      <c r="V22" s="226"/>
    </row>
    <row r="23" spans="5:22">
      <c r="E23" s="580"/>
      <c r="F23" s="580"/>
      <c r="G23" s="580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</row>
  </sheetData>
  <hyperlinks>
    <hyperlink ref="R15" r:id="rId1" xr:uid="{00000000-0004-0000-0700-000002000000}"/>
  </hyperlinks>
  <pageMargins left="0.25" right="0.25" top="0.75" bottom="0.75" header="0.3" footer="0.3"/>
  <pageSetup scale="22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019F7-C227-49BE-884B-081B2D3B3896}">
  <sheetPr>
    <tabColor theme="6" tint="0.39997558519241921"/>
  </sheetPr>
  <dimension ref="A2:AO44"/>
  <sheetViews>
    <sheetView zoomScale="90" zoomScaleNormal="90" workbookViewId="0"/>
  </sheetViews>
  <sheetFormatPr defaultRowHeight="15"/>
  <cols>
    <col min="1" max="1" width="3.625" customWidth="1"/>
    <col min="2" max="3" width="3.625" style="106" customWidth="1"/>
    <col min="4" max="4" width="38.375" style="106" bestFit="1" customWidth="1"/>
    <col min="5" max="5" width="13" style="106" bestFit="1" customWidth="1"/>
    <col min="6" max="10" width="3.625" style="106" customWidth="1"/>
    <col min="11" max="11" width="29.125" style="106" customWidth="1"/>
    <col min="12" max="12" width="16.25" style="106" customWidth="1"/>
    <col min="13" max="14" width="3.625" style="106" customWidth="1"/>
    <col min="15" max="15" width="3.625" style="125" customWidth="1"/>
    <col min="16" max="17" width="3.625" style="106" customWidth="1"/>
    <col min="18" max="18" width="30.25" style="106" bestFit="1" customWidth="1"/>
    <col min="19" max="27" width="13.625" style="106" customWidth="1"/>
    <col min="28" max="30" width="3.625" style="106" customWidth="1"/>
    <col min="31" max="32" width="3" style="106" customWidth="1"/>
    <col min="33" max="33" width="31.75" style="106" customWidth="1"/>
    <col min="34" max="35" width="15" style="106" customWidth="1"/>
    <col min="36" max="39" width="18.5" style="106" customWidth="1"/>
    <col min="40" max="41" width="3" style="106" customWidth="1"/>
    <col min="42" max="16384" width="9" style="106"/>
  </cols>
  <sheetData>
    <row r="2" spans="2:41">
      <c r="B2" s="46" t="s">
        <v>169</v>
      </c>
      <c r="C2" s="229"/>
      <c r="D2" s="229"/>
      <c r="E2" s="229"/>
      <c r="F2" s="229"/>
      <c r="G2" s="229"/>
      <c r="H2" s="226"/>
      <c r="I2" s="124" t="str">
        <f>"Incremental Transmission Analysis "&amp;Year_of_Incremental_Transmission_Needed&amp;" Through "&amp;YEAR(Z5)</f>
        <v>Incremental Transmission Analysis 2023 Through 2027</v>
      </c>
      <c r="J2" s="581"/>
      <c r="K2" s="581"/>
      <c r="L2" s="581"/>
      <c r="M2" s="581"/>
      <c r="N2" s="581"/>
      <c r="O2" s="551"/>
      <c r="P2" s="124" t="s">
        <v>170</v>
      </c>
      <c r="Q2" s="581"/>
      <c r="R2" s="581"/>
      <c r="S2" s="581"/>
      <c r="T2" s="581"/>
      <c r="U2" s="581"/>
      <c r="V2" s="581"/>
      <c r="W2" s="581"/>
      <c r="X2" s="581"/>
      <c r="Y2" s="581"/>
      <c r="Z2" s="581"/>
      <c r="AA2" s="581"/>
      <c r="AB2" s="581"/>
      <c r="AC2" s="581"/>
      <c r="AD2" s="226"/>
      <c r="AE2" s="46" t="s">
        <v>171</v>
      </c>
      <c r="AF2" s="229"/>
      <c r="AG2" s="229"/>
      <c r="AH2" s="229"/>
      <c r="AI2" s="229"/>
      <c r="AJ2" s="229"/>
      <c r="AK2" s="229"/>
      <c r="AL2" s="229"/>
      <c r="AM2" s="229"/>
      <c r="AN2" s="229"/>
      <c r="AO2" s="229"/>
    </row>
    <row r="3" spans="2:41">
      <c r="B3" s="240"/>
      <c r="C3" s="226"/>
      <c r="D3" s="226"/>
      <c r="E3" s="226"/>
      <c r="F3" s="226"/>
      <c r="G3" s="240"/>
      <c r="H3" s="226"/>
      <c r="I3" s="240" t="s">
        <v>102</v>
      </c>
      <c r="J3" s="582"/>
      <c r="K3" s="582"/>
      <c r="L3" s="582"/>
      <c r="M3" s="582"/>
      <c r="N3" s="240" t="s">
        <v>102</v>
      </c>
      <c r="O3" s="551"/>
      <c r="P3" s="240" t="s">
        <v>102</v>
      </c>
      <c r="Q3" s="582"/>
      <c r="R3" s="582"/>
      <c r="S3" s="582"/>
      <c r="T3" s="582"/>
      <c r="U3" s="582"/>
      <c r="V3" s="582"/>
      <c r="W3" s="582"/>
      <c r="X3" s="582"/>
      <c r="Y3" s="582"/>
      <c r="Z3" s="582"/>
      <c r="AA3" s="582"/>
      <c r="AB3" s="582"/>
      <c r="AC3" s="240" t="s">
        <v>102</v>
      </c>
      <c r="AD3" s="226"/>
      <c r="AE3" s="240"/>
      <c r="AF3" s="226"/>
      <c r="AG3" s="226"/>
      <c r="AH3" s="226"/>
      <c r="AI3" s="226"/>
      <c r="AJ3" s="226"/>
      <c r="AK3" s="226"/>
      <c r="AL3" s="226"/>
      <c r="AM3" s="226"/>
      <c r="AN3" s="226"/>
      <c r="AO3" s="240"/>
    </row>
    <row r="4" spans="2:41">
      <c r="B4" s="240"/>
      <c r="C4" s="226"/>
      <c r="D4" s="583" t="s">
        <v>172</v>
      </c>
      <c r="E4" s="191" cm="1">
        <f t="array" ref="E4">[2]!System_Xmission_Limit_2017__MW</f>
        <v>1125</v>
      </c>
      <c r="F4" s="226"/>
      <c r="G4" s="240"/>
      <c r="H4" s="226"/>
      <c r="I4" s="240"/>
      <c r="J4" s="582"/>
      <c r="K4" s="236" t="s">
        <v>173</v>
      </c>
      <c r="L4" s="238"/>
      <c r="M4" s="582"/>
      <c r="N4" s="240"/>
      <c r="O4" s="551"/>
      <c r="P4" s="240" t="s">
        <v>102</v>
      </c>
      <c r="Q4" s="226"/>
      <c r="R4" s="236" t="s">
        <v>173</v>
      </c>
      <c r="S4" s="237"/>
      <c r="T4" s="237"/>
      <c r="U4" s="237"/>
      <c r="V4" s="237"/>
      <c r="W4" s="237"/>
      <c r="X4" s="237"/>
      <c r="Y4" s="237"/>
      <c r="Z4" s="238"/>
      <c r="AA4" s="238"/>
      <c r="AB4" s="226"/>
      <c r="AC4" s="240" t="s">
        <v>102</v>
      </c>
      <c r="AD4" s="226"/>
      <c r="AE4" s="240"/>
      <c r="AF4" s="226"/>
      <c r="AG4" s="75" t="s">
        <v>174</v>
      </c>
      <c r="AH4" s="237"/>
      <c r="AI4" s="237"/>
      <c r="AJ4" s="237"/>
      <c r="AK4" s="237"/>
      <c r="AL4" s="237"/>
      <c r="AM4" s="238"/>
      <c r="AN4" s="226"/>
      <c r="AO4" s="240"/>
    </row>
    <row r="5" spans="2:41">
      <c r="B5" s="240"/>
      <c r="C5" s="226"/>
      <c r="D5" s="584" t="s">
        <v>175</v>
      </c>
      <c r="E5" s="195" cm="1">
        <f t="array" ref="E5">[2]!Year_Incremental_Transmission_Needed</f>
        <v>2023</v>
      </c>
      <c r="F5" s="226"/>
      <c r="G5" s="240"/>
      <c r="H5" s="226"/>
      <c r="I5" s="240" t="s">
        <v>102</v>
      </c>
      <c r="J5" s="226"/>
      <c r="K5" s="249"/>
      <c r="L5" s="242" t="s">
        <v>176</v>
      </c>
      <c r="M5" s="226"/>
      <c r="N5" s="240" t="s">
        <v>102</v>
      </c>
      <c r="O5" s="551"/>
      <c r="P5" s="240" t="s">
        <v>102</v>
      </c>
      <c r="Q5" s="226"/>
      <c r="R5" s="249"/>
      <c r="S5" s="585">
        <f>NPV_Base_Date</f>
        <v>43831</v>
      </c>
      <c r="T5" s="198">
        <f>DATE(YEAR(S5)+1,1,1)</f>
        <v>44197</v>
      </c>
      <c r="U5" s="198">
        <f>DATE(YEAR(T5)+1,1,1)</f>
        <v>44562</v>
      </c>
      <c r="V5" s="199">
        <f>DATE(YEAR(U5)+1,1,1)</f>
        <v>44927</v>
      </c>
      <c r="W5" s="200">
        <f t="shared" ref="W5:Y5" si="0">DATE(YEAR(V5)+1,1,1)</f>
        <v>45292</v>
      </c>
      <c r="X5" s="198">
        <f t="shared" si="0"/>
        <v>45658</v>
      </c>
      <c r="Y5" s="198">
        <f t="shared" si="0"/>
        <v>46023</v>
      </c>
      <c r="Z5" s="198">
        <f>DATE(YEAR(Y5)+1,1,1)</f>
        <v>46388</v>
      </c>
      <c r="AA5" s="198" t="s">
        <v>49</v>
      </c>
      <c r="AB5" s="226"/>
      <c r="AC5" s="240" t="s">
        <v>102</v>
      </c>
      <c r="AD5" s="226"/>
      <c r="AE5" s="240"/>
      <c r="AF5" s="226"/>
      <c r="AG5" s="242" t="s">
        <v>177</v>
      </c>
      <c r="AH5" s="242" t="s">
        <v>178</v>
      </c>
      <c r="AI5" s="242" t="s">
        <v>179</v>
      </c>
      <c r="AJ5" s="242" t="s">
        <v>180</v>
      </c>
      <c r="AK5" s="242" t="s">
        <v>181</v>
      </c>
      <c r="AL5" s="242" t="s">
        <v>182</v>
      </c>
      <c r="AM5" s="242" t="s">
        <v>183</v>
      </c>
      <c r="AN5" s="226"/>
      <c r="AO5" s="240"/>
    </row>
    <row r="6" spans="2:41">
      <c r="B6" s="240"/>
      <c r="C6" s="226"/>
      <c r="D6" s="258" t="s">
        <v>184</v>
      </c>
      <c r="E6" s="192" cm="1">
        <f t="array" ref="E6">[2]!Incremental_Transmission_Capacity__MVA</f>
        <v>200</v>
      </c>
      <c r="F6" s="226"/>
      <c r="G6" s="240"/>
      <c r="H6" s="226"/>
      <c r="I6" s="240" t="s">
        <v>102</v>
      </c>
      <c r="J6" s="226"/>
      <c r="K6" s="258" t="s">
        <v>185</v>
      </c>
      <c r="L6" s="586">
        <f>XNPV(Discount_Rate,S6:Z6,$S$5:$Z$5)</f>
        <v>1543689.4869102696</v>
      </c>
      <c r="M6" s="226"/>
      <c r="N6" s="240" t="s">
        <v>102</v>
      </c>
      <c r="O6" s="551"/>
      <c r="P6" s="240" t="s">
        <v>102</v>
      </c>
      <c r="Q6" s="226"/>
      <c r="R6" s="258" t="s">
        <v>185</v>
      </c>
      <c r="S6" s="586">
        <f>'[2]20-50 Transmission Loading'!M15</f>
        <v>0</v>
      </c>
      <c r="T6" s="586">
        <f>'[2]20-50 Transmission Loading'!P15</f>
        <v>0</v>
      </c>
      <c r="U6" s="586">
        <f>'[2]20-50 Transmission Loading'!S16</f>
        <v>1880.5157230578916</v>
      </c>
      <c r="V6" s="587">
        <f>'[2]20-50 Transmission Loading'!V16</f>
        <v>1104540.7609975291</v>
      </c>
      <c r="W6" s="588">
        <f>'[2]20-50 Transmission Loading'!Y16</f>
        <v>474077.89532846725</v>
      </c>
      <c r="X6" s="586">
        <f>'[2]20-50 Transmission Loading'!AB16</f>
        <v>157639.26964990492</v>
      </c>
      <c r="Y6" s="586">
        <f>'[2]20-50 Transmission Loading'!AE16</f>
        <v>0</v>
      </c>
      <c r="Z6" s="586">
        <f>'[2]20-50 Transmission Loading'!AH16</f>
        <v>0</v>
      </c>
      <c r="AA6" s="586">
        <f>SUM(S6:Z6)</f>
        <v>1738138.4416989591</v>
      </c>
      <c r="AB6" s="226"/>
      <c r="AC6" s="240" t="s">
        <v>102</v>
      </c>
      <c r="AD6" s="226"/>
      <c r="AE6" s="240"/>
      <c r="AF6" s="226"/>
      <c r="AG6" s="249" t="s">
        <v>186</v>
      </c>
      <c r="AH6" s="589">
        <v>0</v>
      </c>
      <c r="AI6" s="151">
        <v>60</v>
      </c>
      <c r="AJ6" s="590">
        <f>+AI6*AG21</f>
        <v>115167000</v>
      </c>
      <c r="AK6" s="590">
        <f>+AG18</f>
        <v>35000000</v>
      </c>
      <c r="AL6" s="590">
        <f>+AJ6+AK6</f>
        <v>150167000</v>
      </c>
      <c r="AM6" s="590">
        <f>AL6*AH6</f>
        <v>0</v>
      </c>
      <c r="AN6" s="226"/>
      <c r="AO6" s="240"/>
    </row>
    <row r="7" spans="2:41">
      <c r="B7" s="240"/>
      <c r="C7" s="226"/>
      <c r="D7" s="584" t="s">
        <v>187</v>
      </c>
      <c r="E7" s="187" cm="1">
        <f t="array" ref="E7">[3]!System_Load_Factor</f>
        <v>0.7235830752160971</v>
      </c>
      <c r="F7" s="226"/>
      <c r="G7" s="240"/>
      <c r="H7" s="226"/>
      <c r="I7" s="240" t="s">
        <v>102</v>
      </c>
      <c r="J7" s="226"/>
      <c r="K7" s="255" t="s">
        <v>188</v>
      </c>
      <c r="L7" s="591">
        <f>XNPV(Discount_Rate,S7:Z7,$S$5:$Z$5)</f>
        <v>3806969.0522767245</v>
      </c>
      <c r="M7" s="226"/>
      <c r="N7" s="240" t="s">
        <v>102</v>
      </c>
      <c r="O7" s="551"/>
      <c r="P7" s="240" t="s">
        <v>102</v>
      </c>
      <c r="Q7" s="226"/>
      <c r="R7" s="255" t="s">
        <v>188</v>
      </c>
      <c r="S7" s="591">
        <f>'[2]20-50 Transmission Loading'!L15</f>
        <v>0</v>
      </c>
      <c r="T7" s="591">
        <f>'[2]20-50 Transmission Loading'!O15</f>
        <v>0</v>
      </c>
      <c r="U7" s="591">
        <f>'[2]20-50 Transmission Loading'!R16</f>
        <v>6920.2750186498743</v>
      </c>
      <c r="V7" s="592">
        <f>'[2]20-50 Transmission Loading'!U16</f>
        <v>163176.78678107297</v>
      </c>
      <c r="W7" s="593">
        <f>'[2]20-50 Transmission Loading'!X16</f>
        <v>793639.65245013498</v>
      </c>
      <c r="X7" s="591">
        <f>'[2]20-50 Transmission Loading'!AA16</f>
        <v>1110078.2781286973</v>
      </c>
      <c r="Y7" s="591">
        <f>'[2]20-50 Transmission Loading'!AD16</f>
        <v>1267717.5477786022</v>
      </c>
      <c r="Z7" s="591">
        <f>'[2]20-50 Transmission Loading'!AG16</f>
        <v>1267717.5477786022</v>
      </c>
      <c r="AA7" s="591">
        <f t="shared" ref="AA7:AA8" si="1">SUM(S7:Z7)</f>
        <v>4609250.0879357597</v>
      </c>
      <c r="AB7" s="226"/>
      <c r="AC7" s="240" t="s">
        <v>102</v>
      </c>
      <c r="AD7" s="226"/>
      <c r="AE7" s="240"/>
      <c r="AF7" s="226"/>
      <c r="AG7" s="120" t="s">
        <v>189</v>
      </c>
      <c r="AH7" s="150">
        <v>0.5</v>
      </c>
      <c r="AI7" s="152">
        <v>10</v>
      </c>
      <c r="AJ7" s="121">
        <f>+AI7*AG20</f>
        <v>15364000</v>
      </c>
      <c r="AK7" s="121">
        <f>+AG19</f>
        <v>25000000</v>
      </c>
      <c r="AL7" s="121">
        <f>+AJ7+AK7</f>
        <v>40364000</v>
      </c>
      <c r="AM7" s="121">
        <f>AL7*AH7</f>
        <v>20182000</v>
      </c>
      <c r="AN7" s="226"/>
      <c r="AO7" s="240"/>
    </row>
    <row r="8" spans="2:41">
      <c r="B8" s="240"/>
      <c r="C8" s="226"/>
      <c r="D8" s="584" t="s">
        <v>190</v>
      </c>
      <c r="E8" s="594">
        <f>E6*E7</f>
        <v>144.71661504321943</v>
      </c>
      <c r="F8" s="226"/>
      <c r="G8" s="240"/>
      <c r="H8" s="226"/>
      <c r="I8" s="240" t="s">
        <v>102</v>
      </c>
      <c r="J8" s="226"/>
      <c r="K8" s="595" t="s">
        <v>49</v>
      </c>
      <c r="L8" s="596">
        <f>SUM(L6:L7)</f>
        <v>5350658.5391869936</v>
      </c>
      <c r="M8" s="226"/>
      <c r="N8" s="240" t="s">
        <v>102</v>
      </c>
      <c r="O8" s="551"/>
      <c r="P8" s="240" t="s">
        <v>102</v>
      </c>
      <c r="Q8" s="226"/>
      <c r="R8" s="597" t="s">
        <v>191</v>
      </c>
      <c r="S8" s="598">
        <f>SUM(S6:S7)</f>
        <v>0</v>
      </c>
      <c r="T8" s="598">
        <f t="shared" ref="T8:Z8" si="2">SUM(T6:T7)</f>
        <v>0</v>
      </c>
      <c r="U8" s="598">
        <f t="shared" si="2"/>
        <v>8800.7907417077658</v>
      </c>
      <c r="V8" s="599">
        <f t="shared" si="2"/>
        <v>1267717.5477786022</v>
      </c>
      <c r="W8" s="600">
        <f t="shared" si="2"/>
        <v>1267717.5477786022</v>
      </c>
      <c r="X8" s="598">
        <f t="shared" si="2"/>
        <v>1267717.5477786022</v>
      </c>
      <c r="Y8" s="598">
        <f t="shared" si="2"/>
        <v>1267717.5477786022</v>
      </c>
      <c r="Z8" s="598">
        <f t="shared" si="2"/>
        <v>1267717.5477786022</v>
      </c>
      <c r="AA8" s="598">
        <f t="shared" si="1"/>
        <v>6347388.5296347197</v>
      </c>
      <c r="AB8" s="226"/>
      <c r="AC8" s="240" t="s">
        <v>102</v>
      </c>
      <c r="AD8" s="226"/>
      <c r="AE8" s="240"/>
      <c r="AF8" s="226"/>
      <c r="AG8" s="120" t="s">
        <v>192</v>
      </c>
      <c r="AH8" s="150">
        <v>0.5</v>
      </c>
      <c r="AI8" s="122" t="s">
        <v>193</v>
      </c>
      <c r="AJ8" s="122" t="s">
        <v>193</v>
      </c>
      <c r="AK8" s="122" t="s">
        <v>193</v>
      </c>
      <c r="AL8" s="123">
        <f>SUM(AL9:AL13)</f>
        <v>43210000</v>
      </c>
      <c r="AM8" s="121">
        <f>AL8*AH8</f>
        <v>21605000</v>
      </c>
      <c r="AN8" s="226"/>
      <c r="AO8" s="240"/>
    </row>
    <row r="9" spans="2:41">
      <c r="B9" s="240"/>
      <c r="C9" s="226"/>
      <c r="D9" s="601" t="s">
        <v>194</v>
      </c>
      <c r="E9" s="268">
        <f>E8*8760</f>
        <v>1267717.5477786022</v>
      </c>
      <c r="F9" s="226"/>
      <c r="G9" s="240"/>
      <c r="H9" s="226"/>
      <c r="I9" s="240"/>
      <c r="J9" s="226"/>
      <c r="K9"/>
      <c r="L9"/>
      <c r="M9" s="226"/>
      <c r="N9" s="240"/>
      <c r="O9" s="551"/>
      <c r="P9" s="240"/>
      <c r="Q9" s="226"/>
      <c r="R9" s="226"/>
      <c r="S9" s="602"/>
      <c r="T9" s="602"/>
      <c r="U9" s="602"/>
      <c r="V9" s="603"/>
      <c r="W9" s="603"/>
      <c r="X9" s="602"/>
      <c r="Y9" s="602"/>
      <c r="Z9" s="602"/>
      <c r="AA9" s="602"/>
      <c r="AB9" s="226"/>
      <c r="AC9" s="240"/>
      <c r="AD9" s="226"/>
      <c r="AE9" s="240"/>
      <c r="AF9" s="226"/>
      <c r="AG9" s="576" t="s">
        <v>195</v>
      </c>
      <c r="AH9" s="604" t="s">
        <v>193</v>
      </c>
      <c r="AI9" s="604" t="s">
        <v>193</v>
      </c>
      <c r="AJ9" s="604" t="s">
        <v>193</v>
      </c>
      <c r="AK9" s="604" t="s">
        <v>193</v>
      </c>
      <c r="AL9" s="605">
        <v>8100000</v>
      </c>
      <c r="AM9" s="606"/>
      <c r="AN9" s="226"/>
      <c r="AO9" s="240"/>
    </row>
    <row r="10" spans="2:41">
      <c r="B10" s="240"/>
      <c r="C10" s="226"/>
      <c r="D10" s="226"/>
      <c r="E10" s="226"/>
      <c r="F10" s="226"/>
      <c r="G10" s="240"/>
      <c r="H10" s="226"/>
      <c r="I10" s="240" t="s">
        <v>102</v>
      </c>
      <c r="J10" s="226"/>
      <c r="K10" s="236" t="str">
        <f>"Capital Repayment for the period "&amp;Year_of_Incremental_Transmission_Needed&amp;" Through "&amp;YEAR(Z5)</f>
        <v>Capital Repayment for the period 2023 Through 2027</v>
      </c>
      <c r="L10" s="238"/>
      <c r="M10" s="226"/>
      <c r="N10" s="240" t="s">
        <v>102</v>
      </c>
      <c r="O10" s="551"/>
      <c r="P10" s="240" t="s">
        <v>102</v>
      </c>
      <c r="Q10" s="226"/>
      <c r="R10" s="236" t="s">
        <v>196</v>
      </c>
      <c r="S10" s="237"/>
      <c r="T10" s="237"/>
      <c r="U10" s="237"/>
      <c r="V10" s="237"/>
      <c r="W10" s="237"/>
      <c r="X10" s="237"/>
      <c r="Y10" s="237"/>
      <c r="Z10" s="238"/>
      <c r="AA10" s="238"/>
      <c r="AB10" s="226"/>
      <c r="AC10" s="240" t="s">
        <v>102</v>
      </c>
      <c r="AD10" s="226"/>
      <c r="AE10" s="240"/>
      <c r="AF10" s="226"/>
      <c r="AG10" s="576" t="s">
        <v>197</v>
      </c>
      <c r="AH10" s="604" t="s">
        <v>193</v>
      </c>
      <c r="AI10" s="604" t="s">
        <v>193</v>
      </c>
      <c r="AJ10" s="604" t="s">
        <v>193</v>
      </c>
      <c r="AK10" s="604" t="s">
        <v>193</v>
      </c>
      <c r="AL10" s="605">
        <v>6140000</v>
      </c>
      <c r="AM10" s="606"/>
      <c r="AN10" s="226"/>
      <c r="AO10" s="240"/>
    </row>
    <row r="11" spans="2:41">
      <c r="B11" s="240"/>
      <c r="C11" s="226"/>
      <c r="D11" s="236" t="s">
        <v>198</v>
      </c>
      <c r="E11" s="607"/>
      <c r="F11" s="226"/>
      <c r="G11" s="240"/>
      <c r="H11" s="226"/>
      <c r="I11" s="240" t="s">
        <v>102</v>
      </c>
      <c r="J11" s="226"/>
      <c r="K11" s="608"/>
      <c r="L11" s="242" t="s">
        <v>176</v>
      </c>
      <c r="M11" s="226"/>
      <c r="N11" s="240" t="s">
        <v>102</v>
      </c>
      <c r="O11" s="551"/>
      <c r="P11" s="240" t="s">
        <v>102</v>
      </c>
      <c r="Q11" s="226"/>
      <c r="R11" s="609"/>
      <c r="S11" s="610">
        <f>YEAR(E$15)</f>
        <v>2020</v>
      </c>
      <c r="T11" s="610">
        <f t="shared" ref="T11:Z11" si="3">YEAR(T$5)</f>
        <v>2021</v>
      </c>
      <c r="U11" s="610">
        <f t="shared" si="3"/>
        <v>2022</v>
      </c>
      <c r="V11" s="610">
        <f t="shared" si="3"/>
        <v>2023</v>
      </c>
      <c r="W11" s="610">
        <f t="shared" si="3"/>
        <v>2024</v>
      </c>
      <c r="X11" s="610">
        <f t="shared" si="3"/>
        <v>2025</v>
      </c>
      <c r="Y11" s="610">
        <f t="shared" si="3"/>
        <v>2026</v>
      </c>
      <c r="Z11" s="610">
        <f t="shared" si="3"/>
        <v>2027</v>
      </c>
      <c r="AA11" s="611" t="str">
        <f>AA$5</f>
        <v>Total</v>
      </c>
      <c r="AB11" s="226"/>
      <c r="AC11" s="240" t="s">
        <v>102</v>
      </c>
      <c r="AD11" s="226"/>
      <c r="AE11" s="240"/>
      <c r="AF11" s="226"/>
      <c r="AG11" s="576" t="s">
        <v>199</v>
      </c>
      <c r="AH11" s="604" t="s">
        <v>193</v>
      </c>
      <c r="AI11" s="604" t="s">
        <v>193</v>
      </c>
      <c r="AJ11" s="604" t="s">
        <v>193</v>
      </c>
      <c r="AK11" s="604" t="s">
        <v>193</v>
      </c>
      <c r="AL11" s="605">
        <v>5810000</v>
      </c>
      <c r="AM11" s="606"/>
      <c r="AN11" s="226"/>
      <c r="AO11" s="240"/>
    </row>
    <row r="12" spans="2:41">
      <c r="B12" s="240"/>
      <c r="C12" s="226"/>
      <c r="D12" s="608" t="s">
        <v>200</v>
      </c>
      <c r="E12" s="612">
        <f>0.4*Total_Expected_Transmission_Cost</f>
        <v>16714800</v>
      </c>
      <c r="F12" s="226"/>
      <c r="G12" s="240"/>
      <c r="H12" s="226"/>
      <c r="I12" s="240" t="s">
        <v>102</v>
      </c>
      <c r="J12" s="226"/>
      <c r="K12" s="613" t="s">
        <v>201</v>
      </c>
      <c r="L12" s="612">
        <f>XNPV(Discount_Rate,S12:Z12,$S$5:$Z$5)</f>
        <v>-16713224.696245147</v>
      </c>
      <c r="M12" s="226"/>
      <c r="N12" s="240" t="s">
        <v>102</v>
      </c>
      <c r="O12" s="551"/>
      <c r="P12" s="240" t="s">
        <v>102</v>
      </c>
      <c r="Q12" s="226"/>
      <c r="R12" s="614" t="s">
        <v>202</v>
      </c>
      <c r="S12" s="612">
        <v>0</v>
      </c>
      <c r="T12" s="612">
        <v>0</v>
      </c>
      <c r="U12" s="612">
        <v>0</v>
      </c>
      <c r="V12" s="615">
        <f>-E12*Initial_Escalator</f>
        <v>-18531997.537049994</v>
      </c>
      <c r="W12" s="612">
        <v>0</v>
      </c>
      <c r="X12" s="612">
        <v>0</v>
      </c>
      <c r="Y12" s="612">
        <v>0</v>
      </c>
      <c r="Z12" s="612">
        <v>0</v>
      </c>
      <c r="AA12" s="612">
        <f t="shared" ref="AA12:AA14" si="4">SUM(S12:Z12)</f>
        <v>-18531997.537049994</v>
      </c>
      <c r="AB12" s="226"/>
      <c r="AC12" s="240" t="s">
        <v>102</v>
      </c>
      <c r="AD12" s="226"/>
      <c r="AE12" s="240"/>
      <c r="AF12" s="226"/>
      <c r="AG12" s="576" t="s">
        <v>203</v>
      </c>
      <c r="AH12" s="604" t="s">
        <v>193</v>
      </c>
      <c r="AI12" s="604" t="s">
        <v>193</v>
      </c>
      <c r="AJ12" s="604" t="s">
        <v>193</v>
      </c>
      <c r="AK12" s="604" t="s">
        <v>193</v>
      </c>
      <c r="AL12" s="605">
        <v>13160000</v>
      </c>
      <c r="AM12" s="606"/>
      <c r="AN12" s="226"/>
      <c r="AO12" s="240"/>
    </row>
    <row r="13" spans="2:41">
      <c r="B13" s="240"/>
      <c r="C13" s="226"/>
      <c r="D13" s="616" t="s">
        <v>204</v>
      </c>
      <c r="E13" s="617">
        <f>Total_Expected_Transmission_Cost-E12</f>
        <v>25072200</v>
      </c>
      <c r="F13" s="226"/>
      <c r="G13" s="240"/>
      <c r="H13" s="226"/>
      <c r="I13" s="240" t="s">
        <v>102</v>
      </c>
      <c r="J13" s="226"/>
      <c r="K13" s="618" t="s">
        <v>205</v>
      </c>
      <c r="L13" s="619">
        <f>XNPV(Discount_Rate,S13:Z13,$S$5:$Z$5)</f>
        <v>-6369435.0445381403</v>
      </c>
      <c r="M13" s="226"/>
      <c r="N13" s="240" t="s">
        <v>102</v>
      </c>
      <c r="O13" s="551"/>
      <c r="P13" s="240" t="s">
        <v>102</v>
      </c>
      <c r="Q13" s="226"/>
      <c r="R13" s="620" t="s">
        <v>206</v>
      </c>
      <c r="S13" s="619">
        <v>0</v>
      </c>
      <c r="T13" s="619">
        <v>0</v>
      </c>
      <c r="U13" s="619">
        <v>0</v>
      </c>
      <c r="V13" s="621">
        <f>E17*Initial_Escalator</f>
        <v>-1511414.0751523527</v>
      </c>
      <c r="W13" s="619">
        <f>V13</f>
        <v>-1511414.0751523527</v>
      </c>
      <c r="X13" s="619">
        <f t="shared" ref="X13:Y13" si="5">W13</f>
        <v>-1511414.0751523527</v>
      </c>
      <c r="Y13" s="619">
        <f t="shared" si="5"/>
        <v>-1511414.0751523527</v>
      </c>
      <c r="Z13" s="619">
        <f>Y13</f>
        <v>-1511414.0751523527</v>
      </c>
      <c r="AA13" s="619">
        <f t="shared" si="4"/>
        <v>-7557070.3757617632</v>
      </c>
      <c r="AB13" s="226"/>
      <c r="AC13" s="240" t="s">
        <v>102</v>
      </c>
      <c r="AD13" s="226"/>
      <c r="AE13" s="240"/>
      <c r="AF13" s="226"/>
      <c r="AG13" s="548" t="s">
        <v>207</v>
      </c>
      <c r="AH13" s="622" t="s">
        <v>193</v>
      </c>
      <c r="AI13" s="622" t="s">
        <v>193</v>
      </c>
      <c r="AJ13" s="622" t="s">
        <v>193</v>
      </c>
      <c r="AK13" s="622" t="s">
        <v>193</v>
      </c>
      <c r="AL13" s="623">
        <v>10000000</v>
      </c>
      <c r="AM13" s="624"/>
      <c r="AN13" s="226"/>
      <c r="AO13" s="240"/>
    </row>
    <row r="14" spans="2:41">
      <c r="B14" s="240"/>
      <c r="C14" s="226"/>
      <c r="D14" s="616" t="s">
        <v>208</v>
      </c>
      <c r="E14" s="187">
        <f>Discount_Rate</f>
        <v>3.5000000000000003E-2</v>
      </c>
      <c r="F14" s="226"/>
      <c r="G14" s="240"/>
      <c r="H14" s="226"/>
      <c r="I14" s="240" t="s">
        <v>102</v>
      </c>
      <c r="J14" s="226"/>
      <c r="K14" s="595" t="s">
        <v>49</v>
      </c>
      <c r="L14" s="625">
        <f>SUM(L12:L13)</f>
        <v>-23082659.740783289</v>
      </c>
      <c r="M14" s="226"/>
      <c r="N14" s="240" t="s">
        <v>102</v>
      </c>
      <c r="O14" s="551"/>
      <c r="P14" s="240" t="s">
        <v>102</v>
      </c>
      <c r="Q14" s="226"/>
      <c r="R14" s="595" t="s">
        <v>209</v>
      </c>
      <c r="S14" s="625">
        <f>SUM(S12:S13)</f>
        <v>0</v>
      </c>
      <c r="T14" s="625">
        <f t="shared" ref="T14:Z14" si="6">SUM(T12:T13)</f>
        <v>0</v>
      </c>
      <c r="U14" s="625">
        <f t="shared" si="6"/>
        <v>0</v>
      </c>
      <c r="V14" s="626">
        <f t="shared" si="6"/>
        <v>-20043411.612202346</v>
      </c>
      <c r="W14" s="625">
        <f t="shared" si="6"/>
        <v>-1511414.0751523527</v>
      </c>
      <c r="X14" s="625">
        <f t="shared" si="6"/>
        <v>-1511414.0751523527</v>
      </c>
      <c r="Y14" s="625">
        <f t="shared" si="6"/>
        <v>-1511414.0751523527</v>
      </c>
      <c r="Z14" s="625">
        <f t="shared" si="6"/>
        <v>-1511414.0751523527</v>
      </c>
      <c r="AA14" s="625">
        <f t="shared" si="4"/>
        <v>-26089067.912811756</v>
      </c>
      <c r="AB14" s="226"/>
      <c r="AC14" s="240" t="s">
        <v>102</v>
      </c>
      <c r="AD14" s="226"/>
      <c r="AE14" s="240"/>
      <c r="AF14" s="226"/>
      <c r="AG14" s="226"/>
      <c r="AH14" s="226" t="s">
        <v>210</v>
      </c>
      <c r="AI14" s="580"/>
      <c r="AJ14" s="580"/>
      <c r="AK14" s="580"/>
      <c r="AL14" s="77" t="s">
        <v>211</v>
      </c>
      <c r="AM14" s="78">
        <f>SUM(AM6:AM8)</f>
        <v>41787000</v>
      </c>
      <c r="AN14" s="226"/>
      <c r="AO14" s="240"/>
    </row>
    <row r="15" spans="2:41">
      <c r="B15" s="240"/>
      <c r="C15" s="226"/>
      <c r="D15" s="616" t="s">
        <v>212</v>
      </c>
      <c r="E15" s="197">
        <v>43831</v>
      </c>
      <c r="F15" s="226"/>
      <c r="G15" s="240"/>
      <c r="H15" s="226"/>
      <c r="I15" s="240" t="s">
        <v>102</v>
      </c>
      <c r="J15" s="226"/>
      <c r="K15" s="595"/>
      <c r="L15" s="578"/>
      <c r="M15" s="226"/>
      <c r="N15" s="240" t="s">
        <v>102</v>
      </c>
      <c r="O15" s="551"/>
      <c r="P15" s="240" t="s">
        <v>102</v>
      </c>
      <c r="Q15" s="226"/>
      <c r="R15" s="595"/>
      <c r="S15" s="578"/>
      <c r="T15" s="578"/>
      <c r="U15" s="578"/>
      <c r="V15" s="627"/>
      <c r="W15" s="627"/>
      <c r="X15" s="578"/>
      <c r="Y15" s="578"/>
      <c r="Z15" s="578"/>
      <c r="AA15" s="578"/>
      <c r="AB15" s="226"/>
      <c r="AC15" s="240" t="s">
        <v>102</v>
      </c>
      <c r="AD15" s="226"/>
      <c r="AE15" s="240"/>
      <c r="AF15" s="226"/>
      <c r="AG15" s="226"/>
      <c r="AH15" s="226"/>
      <c r="AI15" s="226"/>
      <c r="AJ15" s="226"/>
      <c r="AK15" s="226"/>
      <c r="AL15" s="226"/>
      <c r="AM15" s="226"/>
      <c r="AN15" s="226"/>
      <c r="AO15" s="240"/>
    </row>
    <row r="16" spans="2:41">
      <c r="B16" s="240"/>
      <c r="C16" s="226"/>
      <c r="D16" s="616" t="s">
        <v>213</v>
      </c>
      <c r="E16" s="258">
        <v>30</v>
      </c>
      <c r="F16" s="226"/>
      <c r="G16" s="240"/>
      <c r="H16" s="226"/>
      <c r="I16" s="240" t="s">
        <v>102</v>
      </c>
      <c r="J16" s="226"/>
      <c r="K16" s="236" t="s">
        <v>214</v>
      </c>
      <c r="L16" s="628"/>
      <c r="M16" s="226"/>
      <c r="N16" s="240" t="s">
        <v>102</v>
      </c>
      <c r="O16" s="551"/>
      <c r="P16" s="240"/>
      <c r="Q16" s="226"/>
      <c r="R16" s="236" t="s">
        <v>215</v>
      </c>
      <c r="S16" s="629"/>
      <c r="T16" s="629"/>
      <c r="U16" s="629"/>
      <c r="V16" s="630"/>
      <c r="W16" s="630"/>
      <c r="X16" s="629"/>
      <c r="Y16" s="629"/>
      <c r="Z16" s="628"/>
      <c r="AA16" s="628"/>
      <c r="AB16" s="226"/>
      <c r="AC16" s="240"/>
      <c r="AD16" s="226"/>
      <c r="AE16" s="240"/>
      <c r="AF16" s="226"/>
      <c r="AG16" s="236" t="s">
        <v>216</v>
      </c>
      <c r="AH16" s="237"/>
      <c r="AI16" s="237"/>
      <c r="AJ16" s="237"/>
      <c r="AK16" s="237"/>
      <c r="AL16" s="237"/>
      <c r="AM16" s="238"/>
      <c r="AN16" s="226"/>
      <c r="AO16" s="240"/>
    </row>
    <row r="17" spans="2:41">
      <c r="B17" s="240"/>
      <c r="C17" s="226"/>
      <c r="D17" s="616" t="s">
        <v>217</v>
      </c>
      <c r="E17" s="617">
        <f>PMT(E14,30,E13)</f>
        <v>-1363208.9003276448</v>
      </c>
      <c r="F17" s="226"/>
      <c r="G17" s="240"/>
      <c r="H17" s="226"/>
      <c r="I17" s="240"/>
      <c r="J17" s="226"/>
      <c r="K17" s="608"/>
      <c r="L17" s="242" t="s">
        <v>176</v>
      </c>
      <c r="M17" s="226"/>
      <c r="N17" s="240"/>
      <c r="O17" s="551"/>
      <c r="P17" s="240" t="s">
        <v>102</v>
      </c>
      <c r="Q17" s="226"/>
      <c r="R17" s="609"/>
      <c r="S17" s="610">
        <f>YEAR(E$15)</f>
        <v>2020</v>
      </c>
      <c r="T17" s="610">
        <f t="shared" ref="T17:Z17" si="7">YEAR(T$5)</f>
        <v>2021</v>
      </c>
      <c r="U17" s="610">
        <f t="shared" si="7"/>
        <v>2022</v>
      </c>
      <c r="V17" s="610">
        <f t="shared" si="7"/>
        <v>2023</v>
      </c>
      <c r="W17" s="610">
        <f t="shared" si="7"/>
        <v>2024</v>
      </c>
      <c r="X17" s="610">
        <f t="shared" si="7"/>
        <v>2025</v>
      </c>
      <c r="Y17" s="610">
        <f t="shared" si="7"/>
        <v>2026</v>
      </c>
      <c r="Z17" s="610">
        <f t="shared" si="7"/>
        <v>2027</v>
      </c>
      <c r="AA17" s="611" t="str">
        <f>AA$5</f>
        <v>Total</v>
      </c>
      <c r="AB17" s="226"/>
      <c r="AC17" s="240" t="s">
        <v>102</v>
      </c>
      <c r="AD17" s="226"/>
      <c r="AE17" s="240"/>
      <c r="AF17" s="226"/>
      <c r="AG17" s="242" t="s">
        <v>218</v>
      </c>
      <c r="AH17" s="236" t="s">
        <v>219</v>
      </c>
      <c r="AI17" s="238"/>
      <c r="AJ17" s="236" t="s">
        <v>220</v>
      </c>
      <c r="AK17" s="237"/>
      <c r="AL17" s="237"/>
      <c r="AM17" s="238"/>
      <c r="AN17" s="226"/>
      <c r="AO17" s="240"/>
    </row>
    <row r="18" spans="2:41">
      <c r="B18" s="240"/>
      <c r="C18" s="226"/>
      <c r="D18" s="631" t="str">
        <f>"Escalator "&amp;TEXT(NPV_Base_Date,"YYYY")&amp;" to "&amp;Year_of_Incremental_Transmission_Needed</f>
        <v>Escalator 2020 to 2023</v>
      </c>
      <c r="E18" s="632">
        <f>(1+Discount_Rate)^(Year_of_Incremental_Transmission_Needed-YEAR(NPV_Base_Date))</f>
        <v>1.1087178749999997</v>
      </c>
      <c r="F18" s="226"/>
      <c r="G18" s="240"/>
      <c r="H18" s="226"/>
      <c r="I18" s="240"/>
      <c r="J18" s="226"/>
      <c r="K18" s="613" t="s">
        <v>202</v>
      </c>
      <c r="L18" s="612">
        <f>XNPV(Discount_Rate,S18:Z18,$S$5:$Z$5)</f>
        <v>-18038660.327169511</v>
      </c>
      <c r="M18" s="226"/>
      <c r="N18" s="240"/>
      <c r="O18" s="551"/>
      <c r="P18" s="240" t="s">
        <v>102</v>
      </c>
      <c r="Q18" s="226"/>
      <c r="R18" s="614" t="s">
        <v>221</v>
      </c>
      <c r="S18" s="612">
        <v>0</v>
      </c>
      <c r="T18" s="612">
        <v>0</v>
      </c>
      <c r="U18" s="612">
        <v>0</v>
      </c>
      <c r="V18" s="615">
        <f>E23*Initial_Escalator</f>
        <v>-4280424.3900336847</v>
      </c>
      <c r="W18" s="612">
        <f>V18</f>
        <v>-4280424.3900336847</v>
      </c>
      <c r="X18" s="612">
        <f t="shared" ref="X18:Y18" si="8">W18</f>
        <v>-4280424.3900336847</v>
      </c>
      <c r="Y18" s="612">
        <f t="shared" si="8"/>
        <v>-4280424.3900336847</v>
      </c>
      <c r="Z18" s="612">
        <f>Y18</f>
        <v>-4280424.3900336847</v>
      </c>
      <c r="AA18" s="612">
        <f t="shared" ref="AA18:AA20" si="9">SUM(S18:Z18)</f>
        <v>-21402121.950168423</v>
      </c>
      <c r="AB18" s="226"/>
      <c r="AC18" s="240" t="s">
        <v>102</v>
      </c>
      <c r="AD18" s="226"/>
      <c r="AE18" s="240"/>
      <c r="AF18" s="226"/>
      <c r="AG18" s="147">
        <v>35000000</v>
      </c>
      <c r="AH18" s="141" t="s">
        <v>222</v>
      </c>
      <c r="AI18" s="142"/>
      <c r="AJ18" s="69"/>
      <c r="AK18" s="70"/>
      <c r="AL18" s="233"/>
      <c r="AM18" s="633"/>
      <c r="AN18" s="226"/>
      <c r="AO18" s="240"/>
    </row>
    <row r="19" spans="2:41">
      <c r="B19" s="240"/>
      <c r="C19" s="226"/>
      <c r="D19" s="232"/>
      <c r="E19" s="634"/>
      <c r="F19" s="226"/>
      <c r="G19" s="240"/>
      <c r="H19" s="226"/>
      <c r="I19" s="240"/>
      <c r="J19" s="226"/>
      <c r="K19" s="618" t="s">
        <v>223</v>
      </c>
      <c r="L19" s="619">
        <f>XNPV(Discount_Rate,S19:Z19,$S$5:$Z$5)</f>
        <v>-6369435.0445381403</v>
      </c>
      <c r="M19" s="226"/>
      <c r="N19" s="240"/>
      <c r="O19" s="551"/>
      <c r="P19" s="240"/>
      <c r="Q19" s="226"/>
      <c r="R19" s="620" t="s">
        <v>223</v>
      </c>
      <c r="S19" s="619">
        <v>0</v>
      </c>
      <c r="T19" s="619">
        <v>0</v>
      </c>
      <c r="U19" s="619">
        <v>0</v>
      </c>
      <c r="V19" s="621">
        <f>V13</f>
        <v>-1511414.0751523527</v>
      </c>
      <c r="W19" s="619">
        <f t="shared" ref="W19:Z19" si="10">W13</f>
        <v>-1511414.0751523527</v>
      </c>
      <c r="X19" s="619">
        <f t="shared" si="10"/>
        <v>-1511414.0751523527</v>
      </c>
      <c r="Y19" s="619">
        <f t="shared" si="10"/>
        <v>-1511414.0751523527</v>
      </c>
      <c r="Z19" s="619">
        <f t="shared" si="10"/>
        <v>-1511414.0751523527</v>
      </c>
      <c r="AA19" s="619">
        <f t="shared" si="9"/>
        <v>-7557070.3757617632</v>
      </c>
      <c r="AB19" s="226"/>
      <c r="AC19" s="240"/>
      <c r="AD19" s="226"/>
      <c r="AE19" s="240"/>
      <c r="AF19" s="226"/>
      <c r="AG19" s="148">
        <v>25000000</v>
      </c>
      <c r="AH19" s="143" t="s">
        <v>224</v>
      </c>
      <c r="AI19" s="144"/>
      <c r="AJ19" s="71"/>
      <c r="AK19" s="72"/>
      <c r="AL19" s="232"/>
      <c r="AM19" s="635"/>
      <c r="AN19" s="226"/>
      <c r="AO19" s="240"/>
    </row>
    <row r="20" spans="2:41">
      <c r="B20" s="240"/>
      <c r="C20" s="226"/>
      <c r="D20" s="236" t="s">
        <v>225</v>
      </c>
      <c r="E20" s="628"/>
      <c r="F20" s="226"/>
      <c r="G20" s="240"/>
      <c r="H20" s="226"/>
      <c r="I20" s="240" t="s">
        <v>102</v>
      </c>
      <c r="J20" s="226"/>
      <c r="K20" s="595" t="s">
        <v>49</v>
      </c>
      <c r="L20" s="625">
        <f>SUM(L18:L19)</f>
        <v>-24408095.371707652</v>
      </c>
      <c r="M20" s="226"/>
      <c r="N20" s="240" t="s">
        <v>102</v>
      </c>
      <c r="O20" s="551"/>
      <c r="P20" s="240"/>
      <c r="Q20" s="226"/>
      <c r="R20" s="595" t="s">
        <v>49</v>
      </c>
      <c r="S20" s="625">
        <f>SUM(S18:S19)</f>
        <v>0</v>
      </c>
      <c r="T20" s="625">
        <f t="shared" ref="T20:V20" si="11">SUM(T18:T19)</f>
        <v>0</v>
      </c>
      <c r="U20" s="625">
        <f t="shared" si="11"/>
        <v>0</v>
      </c>
      <c r="V20" s="626">
        <f t="shared" si="11"/>
        <v>-5791838.4651860371</v>
      </c>
      <c r="W20" s="625">
        <f t="shared" ref="W20" si="12">SUM(W18:W19)</f>
        <v>-5791838.4651860371</v>
      </c>
      <c r="X20" s="625">
        <f t="shared" ref="X20" si="13">SUM(X18:X19)</f>
        <v>-5791838.4651860371</v>
      </c>
      <c r="Y20" s="625">
        <f t="shared" ref="Y20" si="14">SUM(Y18:Y19)</f>
        <v>-5791838.4651860371</v>
      </c>
      <c r="Z20" s="625">
        <f t="shared" ref="Z20" si="15">SUM(Z18:Z19)</f>
        <v>-5791838.4651860371</v>
      </c>
      <c r="AA20" s="625">
        <f t="shared" si="9"/>
        <v>-28959192.325930186</v>
      </c>
      <c r="AB20" s="226"/>
      <c r="AC20" s="240"/>
      <c r="AD20" s="226"/>
      <c r="AE20" s="240"/>
      <c r="AF20" s="226"/>
      <c r="AG20" s="148">
        <v>1536400</v>
      </c>
      <c r="AH20" s="143" t="s">
        <v>226</v>
      </c>
      <c r="AI20" s="144"/>
      <c r="AJ20" s="73" t="s">
        <v>227</v>
      </c>
      <c r="AK20" s="232"/>
      <c r="AL20" s="232"/>
      <c r="AM20" s="635"/>
      <c r="AN20" s="226"/>
      <c r="AO20" s="240"/>
    </row>
    <row r="21" spans="2:41">
      <c r="B21" s="240"/>
      <c r="C21" s="226"/>
      <c r="D21" s="609" t="s">
        <v>228</v>
      </c>
      <c r="E21" s="636">
        <v>5</v>
      </c>
      <c r="F21" s="226"/>
      <c r="G21" s="240"/>
      <c r="H21" s="226"/>
      <c r="I21" s="240"/>
      <c r="J21" s="226"/>
      <c r="K21" s="226"/>
      <c r="L21" s="625"/>
      <c r="M21" s="226"/>
      <c r="N21" s="240"/>
      <c r="O21" s="551"/>
      <c r="P21" s="240"/>
      <c r="Q21" s="226"/>
      <c r="R21" s="595"/>
      <c r="S21" s="625"/>
      <c r="T21" s="625"/>
      <c r="U21" s="625"/>
      <c r="V21" s="625"/>
      <c r="W21" s="625"/>
      <c r="X21" s="625"/>
      <c r="Y21" s="625"/>
      <c r="Z21" s="625"/>
      <c r="AA21" s="625"/>
      <c r="AB21" s="226"/>
      <c r="AC21" s="240"/>
      <c r="AD21" s="226"/>
      <c r="AE21" s="240"/>
      <c r="AF21" s="226"/>
      <c r="AG21" s="149">
        <v>1919450</v>
      </c>
      <c r="AH21" s="145" t="s">
        <v>229</v>
      </c>
      <c r="AI21" s="146"/>
      <c r="AJ21" s="74" t="s">
        <v>227</v>
      </c>
      <c r="AK21" s="637"/>
      <c r="AL21" s="637"/>
      <c r="AM21" s="638"/>
      <c r="AN21" s="226"/>
      <c r="AO21" s="240"/>
    </row>
    <row r="22" spans="2:41">
      <c r="B22" s="240"/>
      <c r="C22" s="226"/>
      <c r="D22" s="614" t="s">
        <v>230</v>
      </c>
      <c r="E22" s="196">
        <v>1.4999999999999999E-2</v>
      </c>
      <c r="F22" s="226"/>
      <c r="G22" s="240"/>
      <c r="H22" s="226"/>
      <c r="I22" s="240"/>
      <c r="J22" s="226"/>
      <c r="K22" s="236" t="s">
        <v>231</v>
      </c>
      <c r="L22" s="628"/>
      <c r="M22" s="226"/>
      <c r="N22" s="240"/>
      <c r="O22" s="551"/>
      <c r="P22" s="240"/>
      <c r="Q22" s="226"/>
      <c r="R22" s="236" t="s">
        <v>231</v>
      </c>
      <c r="S22" s="629"/>
      <c r="T22" s="629"/>
      <c r="U22" s="629"/>
      <c r="V22" s="630"/>
      <c r="W22" s="630"/>
      <c r="X22" s="629"/>
      <c r="Y22" s="629"/>
      <c r="Z22" s="628"/>
      <c r="AA22" s="628"/>
      <c r="AB22" s="226"/>
      <c r="AC22" s="240"/>
      <c r="AD22" s="226"/>
      <c r="AE22" s="240"/>
      <c r="AF22" s="226"/>
      <c r="AG22" s="226"/>
      <c r="AH22" s="226"/>
      <c r="AI22" s="226"/>
      <c r="AJ22" s="226"/>
      <c r="AK22" s="226"/>
      <c r="AL22" s="226"/>
      <c r="AM22" s="226"/>
      <c r="AN22" s="226"/>
      <c r="AO22" s="240"/>
    </row>
    <row r="23" spans="2:41">
      <c r="B23" s="240"/>
      <c r="C23" s="226"/>
      <c r="D23" s="614" t="s">
        <v>232</v>
      </c>
      <c r="E23" s="617">
        <f>PMT(Discount_Rate+E22,E21,E12)</f>
        <v>-3860697.5557543756</v>
      </c>
      <c r="F23" s="226"/>
      <c r="G23" s="240"/>
      <c r="H23" s="226"/>
      <c r="I23" s="240"/>
      <c r="J23" s="226"/>
      <c r="K23" s="609"/>
      <c r="L23" s="242" t="s">
        <v>176</v>
      </c>
      <c r="M23" s="226"/>
      <c r="N23" s="240"/>
      <c r="O23" s="551"/>
      <c r="P23" s="240"/>
      <c r="Q23" s="226"/>
      <c r="R23" s="609"/>
      <c r="S23" s="610">
        <f>YEAR(E$15)</f>
        <v>2020</v>
      </c>
      <c r="T23" s="610">
        <f t="shared" ref="T23:Z23" si="16">YEAR(T$5)</f>
        <v>2021</v>
      </c>
      <c r="U23" s="610">
        <f t="shared" si="16"/>
        <v>2022</v>
      </c>
      <c r="V23" s="639">
        <f t="shared" si="16"/>
        <v>2023</v>
      </c>
      <c r="W23" s="610">
        <f t="shared" si="16"/>
        <v>2024</v>
      </c>
      <c r="X23" s="610">
        <f t="shared" si="16"/>
        <v>2025</v>
      </c>
      <c r="Y23" s="610">
        <f t="shared" si="16"/>
        <v>2026</v>
      </c>
      <c r="Z23" s="610">
        <f t="shared" si="16"/>
        <v>2027</v>
      </c>
      <c r="AA23" s="611" t="str">
        <f>AA$5</f>
        <v>Total</v>
      </c>
      <c r="AB23" s="226"/>
      <c r="AC23" s="240"/>
      <c r="AD23" s="226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</row>
    <row r="24" spans="2:41">
      <c r="B24" s="240"/>
      <c r="C24" s="226"/>
      <c r="D24" s="255" t="s">
        <v>233</v>
      </c>
      <c r="E24" s="640">
        <f>-L18-E12</f>
        <v>1323860.3271695115</v>
      </c>
      <c r="F24" s="226"/>
      <c r="G24" s="240"/>
      <c r="H24" s="226"/>
      <c r="I24" s="240"/>
      <c r="J24" s="226"/>
      <c r="K24" s="614" t="s">
        <v>234</v>
      </c>
      <c r="L24" s="612">
        <f>XNPV(Discount_Rate,S24:Z24,$S$5:$Z$5)</f>
        <v>-7044655.6939423932</v>
      </c>
      <c r="M24" s="226"/>
      <c r="N24" s="240"/>
      <c r="O24" s="551"/>
      <c r="P24" s="240"/>
      <c r="Q24" s="226"/>
      <c r="R24" s="614" t="s">
        <v>234</v>
      </c>
      <c r="S24" s="612">
        <v>0</v>
      </c>
      <c r="T24" s="612">
        <v>0</v>
      </c>
      <c r="U24" s="612">
        <v>0</v>
      </c>
      <c r="V24" s="615">
        <f>V6/V8*V20</f>
        <v>-5046330.4520168975</v>
      </c>
      <c r="W24" s="612">
        <f t="shared" ref="W24:Z24" si="17">W6/W8*W20</f>
        <v>-2165926.151664651</v>
      </c>
      <c r="X24" s="612">
        <f t="shared" si="17"/>
        <v>-720208.68306352873</v>
      </c>
      <c r="Y24" s="612">
        <f t="shared" si="17"/>
        <v>0</v>
      </c>
      <c r="Z24" s="612">
        <f t="shared" si="17"/>
        <v>0</v>
      </c>
      <c r="AA24" s="612">
        <f t="shared" ref="AA24:AA26" si="18">SUM(S24:Z24)</f>
        <v>-7932465.286745077</v>
      </c>
      <c r="AB24" s="226"/>
      <c r="AC24" s="240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226"/>
    </row>
    <row r="25" spans="2:41">
      <c r="B25" s="240"/>
      <c r="C25" s="226"/>
      <c r="D25" s="232"/>
      <c r="E25" s="634"/>
      <c r="F25" s="226"/>
      <c r="G25" s="240"/>
      <c r="H25" s="226"/>
      <c r="I25" s="240"/>
      <c r="J25" s="226"/>
      <c r="K25" s="620" t="s">
        <v>235</v>
      </c>
      <c r="L25" s="619">
        <f>XNPV(Discount_Rate,S25:Z25,$S$5:$Z$5)</f>
        <v>-17363439.677765258</v>
      </c>
      <c r="M25" s="226"/>
      <c r="N25" s="240"/>
      <c r="O25" s="551"/>
      <c r="P25" s="240"/>
      <c r="Q25" s="226"/>
      <c r="R25" s="620" t="s">
        <v>235</v>
      </c>
      <c r="S25" s="619">
        <v>0</v>
      </c>
      <c r="T25" s="619">
        <v>0</v>
      </c>
      <c r="U25" s="619">
        <v>0</v>
      </c>
      <c r="V25" s="621">
        <f>V7/V8*V20</f>
        <v>-745508.01316913904</v>
      </c>
      <c r="W25" s="619">
        <f t="shared" ref="W25:Z25" si="19">W7/W8*W20</f>
        <v>-3625912.3135213861</v>
      </c>
      <c r="X25" s="619">
        <f t="shared" si="19"/>
        <v>-5071629.7821225086</v>
      </c>
      <c r="Y25" s="619">
        <f t="shared" si="19"/>
        <v>-5791838.4651860371</v>
      </c>
      <c r="Z25" s="619">
        <f t="shared" si="19"/>
        <v>-5791838.4651860371</v>
      </c>
      <c r="AA25" s="619">
        <f t="shared" si="18"/>
        <v>-21026727.039185107</v>
      </c>
      <c r="AB25" s="226"/>
      <c r="AC25" s="240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</row>
    <row r="26" spans="2:41">
      <c r="B26" s="240"/>
      <c r="C26" s="226"/>
      <c r="D26" s="232"/>
      <c r="E26" s="634"/>
      <c r="F26" s="226"/>
      <c r="G26" s="240"/>
      <c r="H26" s="226"/>
      <c r="I26" s="240"/>
      <c r="J26" s="226"/>
      <c r="K26" s="595" t="s">
        <v>49</v>
      </c>
      <c r="L26" s="625">
        <f>SUM(L24:L25)</f>
        <v>-24408095.371707652</v>
      </c>
      <c r="M26" s="226"/>
      <c r="N26" s="240"/>
      <c r="O26" s="551"/>
      <c r="P26" s="240"/>
      <c r="Q26" s="226"/>
      <c r="R26" s="595" t="s">
        <v>49</v>
      </c>
      <c r="S26" s="625">
        <f t="shared" ref="S26:Z26" si="20">SUM(S24:S25)</f>
        <v>0</v>
      </c>
      <c r="T26" s="625">
        <f t="shared" si="20"/>
        <v>0</v>
      </c>
      <c r="U26" s="625">
        <f t="shared" si="20"/>
        <v>0</v>
      </c>
      <c r="V26" s="626">
        <f t="shared" si="20"/>
        <v>-5791838.4651860362</v>
      </c>
      <c r="W26" s="625">
        <f t="shared" si="20"/>
        <v>-5791838.4651860371</v>
      </c>
      <c r="X26" s="625">
        <f t="shared" si="20"/>
        <v>-5791838.4651860371</v>
      </c>
      <c r="Y26" s="625">
        <f t="shared" si="20"/>
        <v>-5791838.4651860371</v>
      </c>
      <c r="Z26" s="625">
        <f t="shared" si="20"/>
        <v>-5791838.4651860371</v>
      </c>
      <c r="AA26" s="625">
        <f t="shared" si="18"/>
        <v>-28959192.325930186</v>
      </c>
      <c r="AB26" s="226"/>
      <c r="AC26" s="240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</row>
    <row r="27" spans="2:41" ht="15.75" thickBot="1">
      <c r="B27" s="240"/>
      <c r="C27" s="226"/>
      <c r="D27" s="226"/>
      <c r="E27" s="226"/>
      <c r="F27" s="226"/>
      <c r="G27" s="240"/>
      <c r="H27" s="226"/>
      <c r="I27" s="240"/>
      <c r="J27" s="226"/>
      <c r="K27" s="595"/>
      <c r="L27" s="625"/>
      <c r="M27" s="226"/>
      <c r="N27" s="240"/>
      <c r="O27" s="551"/>
      <c r="P27" s="240"/>
      <c r="Q27" s="226"/>
      <c r="R27" s="595"/>
      <c r="S27" s="625"/>
      <c r="T27" s="625"/>
      <c r="U27" s="625"/>
      <c r="V27" s="625"/>
      <c r="W27" s="625"/>
      <c r="X27" s="625"/>
      <c r="Y27" s="625"/>
      <c r="Z27" s="625"/>
      <c r="AA27" s="625"/>
      <c r="AB27" s="226"/>
      <c r="AC27" s="240"/>
      <c r="AD27" s="226"/>
      <c r="AE27" s="226"/>
      <c r="AF27" s="226"/>
      <c r="AG27" s="226"/>
      <c r="AH27" s="226"/>
      <c r="AI27" s="226"/>
      <c r="AJ27" s="226"/>
      <c r="AK27" s="226"/>
      <c r="AL27" s="226"/>
      <c r="AM27" s="226"/>
      <c r="AN27" s="226"/>
      <c r="AO27" s="226"/>
    </row>
    <row r="28" spans="2:41" ht="15.75" thickTop="1">
      <c r="B28" s="240"/>
      <c r="C28" s="240"/>
      <c r="D28" s="240"/>
      <c r="E28" s="240"/>
      <c r="F28" s="240"/>
      <c r="G28" s="240"/>
      <c r="H28" s="226"/>
      <c r="I28" s="240"/>
      <c r="J28" s="226"/>
      <c r="K28" s="641" t="str">
        <f>"Allocation of Revenue Requirements (in $"&amp;YEAR(NPV_Base_Date)&amp;")"</f>
        <v>Allocation of Revenue Requirements (in $2020)</v>
      </c>
      <c r="L28" s="642"/>
      <c r="M28" s="226"/>
      <c r="N28" s="240"/>
      <c r="O28" s="551"/>
      <c r="P28" s="240" t="s">
        <v>102</v>
      </c>
      <c r="Q28" s="226"/>
      <c r="R28" s="595"/>
      <c r="S28"/>
      <c r="T28" s="201" t="s">
        <v>236</v>
      </c>
      <c r="U28" s="237"/>
      <c r="V28" s="237"/>
      <c r="W28" s="237"/>
      <c r="X28" s="237"/>
      <c r="Y28" s="238"/>
      <c r="Z28"/>
      <c r="AA28"/>
      <c r="AB28" s="226"/>
      <c r="AC28" s="240" t="s">
        <v>102</v>
      </c>
      <c r="AD28" s="226"/>
      <c r="AE28" s="226"/>
      <c r="AF28" s="226"/>
      <c r="AG28" s="226"/>
      <c r="AH28" s="226"/>
      <c r="AI28" s="226"/>
      <c r="AJ28" s="226"/>
      <c r="AK28" s="226"/>
      <c r="AL28" s="226"/>
      <c r="AM28" s="226"/>
      <c r="AN28" s="226"/>
      <c r="AO28" s="226"/>
    </row>
    <row r="29" spans="2:41">
      <c r="B29" s="226"/>
      <c r="C29" s="226"/>
      <c r="D29" s="226"/>
      <c r="E29" s="226"/>
      <c r="F29" s="226"/>
      <c r="G29" s="226"/>
      <c r="H29" s="226"/>
      <c r="I29" s="240" t="s">
        <v>102</v>
      </c>
      <c r="J29" s="226"/>
      <c r="K29" s="643"/>
      <c r="L29" s="202" t="s">
        <v>237</v>
      </c>
      <c r="M29" s="226"/>
      <c r="N29" s="240" t="s">
        <v>102</v>
      </c>
      <c r="O29" s="551"/>
      <c r="P29" s="240" t="s">
        <v>102</v>
      </c>
      <c r="Q29" s="226"/>
      <c r="R29" s="595"/>
      <c r="S29" s="226"/>
      <c r="T29" s="610">
        <f t="shared" ref="T29:Y29" si="21">YEAR(T$5)</f>
        <v>2021</v>
      </c>
      <c r="U29" s="610">
        <f t="shared" si="21"/>
        <v>2022</v>
      </c>
      <c r="V29" s="639">
        <f t="shared" si="21"/>
        <v>2023</v>
      </c>
      <c r="W29" s="610">
        <f t="shared" si="21"/>
        <v>2024</v>
      </c>
      <c r="X29" s="610">
        <f t="shared" si="21"/>
        <v>2025</v>
      </c>
      <c r="Y29" s="610">
        <f t="shared" si="21"/>
        <v>2026</v>
      </c>
      <c r="Z29" s="226"/>
      <c r="AA29" s="226"/>
      <c r="AB29" s="226"/>
      <c r="AC29" s="240" t="s">
        <v>102</v>
      </c>
      <c r="AD29" s="226"/>
      <c r="AE29" s="226"/>
      <c r="AF29" s="226"/>
      <c r="AG29" s="226"/>
      <c r="AH29" s="226"/>
      <c r="AI29" s="226"/>
      <c r="AJ29" s="226"/>
      <c r="AK29" s="226"/>
      <c r="AL29" s="226"/>
      <c r="AM29" s="226"/>
      <c r="AN29" s="226"/>
      <c r="AO29" s="226"/>
    </row>
    <row r="30" spans="2:41">
      <c r="B30" s="226"/>
      <c r="C30" s="226"/>
      <c r="D30" s="226"/>
      <c r="E30" s="226"/>
      <c r="F30" s="226"/>
      <c r="G30" s="226"/>
      <c r="H30" s="226"/>
      <c r="I30" s="240" t="s">
        <v>102</v>
      </c>
      <c r="J30" s="226"/>
      <c r="K30" s="644" t="str">
        <f>Year_of_Incremental_Transmission_Needed&amp; " Embedded System Cost"</f>
        <v>2023 Embedded System Cost</v>
      </c>
      <c r="L30" s="203">
        <f>V30/Initial_Escalator</f>
        <v>3.3462074380283631</v>
      </c>
      <c r="M30" s="226"/>
      <c r="N30" s="240" t="s">
        <v>102</v>
      </c>
      <c r="O30" s="551"/>
      <c r="P30" s="240" t="s">
        <v>102</v>
      </c>
      <c r="Q30" s="226"/>
      <c r="R30" s="595"/>
      <c r="S30" s="645"/>
      <c r="T30" s="193">
        <v>3.8</v>
      </c>
      <c r="U30" s="193">
        <v>3.79</v>
      </c>
      <c r="V30" s="194">
        <v>3.71</v>
      </c>
      <c r="W30" s="193">
        <v>2.5499999999999998</v>
      </c>
      <c r="X30" s="193">
        <v>2.27</v>
      </c>
      <c r="Y30" s="193">
        <v>2.23</v>
      </c>
      <c r="Z30" s="645"/>
      <c r="AA30" s="645"/>
      <c r="AB30" s="226"/>
      <c r="AC30" s="240" t="s">
        <v>102</v>
      </c>
      <c r="AD30" s="226"/>
      <c r="AE30" s="226"/>
      <c r="AF30" s="226"/>
      <c r="AG30" s="226"/>
      <c r="AH30" s="226"/>
      <c r="AI30" s="226"/>
      <c r="AJ30" s="226"/>
      <c r="AK30" s="226"/>
      <c r="AL30" s="226"/>
      <c r="AM30" s="226"/>
      <c r="AN30" s="226"/>
      <c r="AO30" s="226"/>
    </row>
    <row r="31" spans="2:41">
      <c r="B31" s="226"/>
      <c r="C31" s="226"/>
      <c r="D31" s="51"/>
      <c r="E31" s="226"/>
      <c r="F31" s="226"/>
      <c r="G31" s="226"/>
      <c r="H31" s="226"/>
      <c r="I31" s="240" t="s">
        <v>102</v>
      </c>
      <c r="J31" s="226"/>
      <c r="K31" s="644" t="s">
        <v>238</v>
      </c>
      <c r="L31" s="203">
        <f>-L25/L7</f>
        <v>4.5609616047131256</v>
      </c>
      <c r="M31" s="226"/>
      <c r="N31" s="240" t="s">
        <v>102</v>
      </c>
      <c r="O31" s="551"/>
      <c r="P31" s="240" t="s">
        <v>102</v>
      </c>
      <c r="Q31" s="226"/>
      <c r="R31" s="226"/>
      <c r="S31" s="226"/>
      <c r="T31" s="226"/>
      <c r="U31" s="226"/>
      <c r="V31" s="226"/>
      <c r="W31" s="226"/>
      <c r="X31" s="226"/>
      <c r="Y31" s="226"/>
      <c r="Z31" s="226"/>
      <c r="AA31" s="226"/>
      <c r="AB31" s="226"/>
      <c r="AC31" s="240" t="s">
        <v>102</v>
      </c>
      <c r="AD31" s="226"/>
      <c r="AE31" s="226"/>
      <c r="AF31" s="226"/>
      <c r="AG31" s="226"/>
      <c r="AH31" s="226"/>
      <c r="AI31" s="226"/>
      <c r="AJ31" s="226"/>
      <c r="AK31" s="226"/>
      <c r="AL31" s="226"/>
      <c r="AM31" s="226"/>
      <c r="AN31" s="226"/>
      <c r="AO31" s="226"/>
    </row>
    <row r="32" spans="2:41" ht="15.75" thickBot="1">
      <c r="B32" s="226"/>
      <c r="C32" s="226"/>
      <c r="D32" s="51"/>
      <c r="E32" s="226"/>
      <c r="F32" s="226"/>
      <c r="G32" s="226"/>
      <c r="H32" s="226"/>
      <c r="I32" s="240" t="s">
        <v>102</v>
      </c>
      <c r="J32" s="226"/>
      <c r="K32" s="646" t="s">
        <v>239</v>
      </c>
      <c r="L32" s="204">
        <f>L31-L30</f>
        <v>1.2147541666847625</v>
      </c>
      <c r="M32" s="226"/>
      <c r="N32" s="240" t="s">
        <v>102</v>
      </c>
      <c r="O32" s="551"/>
      <c r="P32" s="240" t="s">
        <v>102</v>
      </c>
      <c r="Q32" s="240" t="s">
        <v>102</v>
      </c>
      <c r="R32" s="240" t="s">
        <v>102</v>
      </c>
      <c r="S32" s="240" t="s">
        <v>102</v>
      </c>
      <c r="T32" s="240" t="s">
        <v>102</v>
      </c>
      <c r="U32" s="240" t="s">
        <v>102</v>
      </c>
      <c r="V32" s="240" t="s">
        <v>102</v>
      </c>
      <c r="W32" s="240" t="s">
        <v>102</v>
      </c>
      <c r="X32" s="240" t="s">
        <v>102</v>
      </c>
      <c r="Y32" s="240" t="s">
        <v>102</v>
      </c>
      <c r="Z32" s="240" t="s">
        <v>102</v>
      </c>
      <c r="AA32" s="240" t="s">
        <v>102</v>
      </c>
      <c r="AB32" s="240" t="s">
        <v>102</v>
      </c>
      <c r="AC32" s="240" t="s">
        <v>102</v>
      </c>
      <c r="AD32" s="226"/>
      <c r="AE32" s="226"/>
      <c r="AF32" s="226"/>
      <c r="AG32" s="226"/>
      <c r="AH32" s="226"/>
      <c r="AI32" s="226"/>
      <c r="AJ32" s="226"/>
      <c r="AK32" s="226"/>
      <c r="AL32" s="226"/>
      <c r="AM32" s="226"/>
      <c r="AN32" s="226"/>
      <c r="AO32" s="226"/>
    </row>
    <row r="33" spans="4:14" ht="15.75" thickTop="1">
      <c r="D33" s="51"/>
      <c r="E33" s="226"/>
      <c r="F33" s="226"/>
      <c r="G33" s="226"/>
      <c r="H33" s="226"/>
      <c r="I33" s="240" t="s">
        <v>102</v>
      </c>
      <c r="J33" s="226"/>
      <c r="K33" s="226"/>
      <c r="L33" s="492"/>
      <c r="M33" s="226"/>
      <c r="N33" s="240" t="s">
        <v>102</v>
      </c>
    </row>
    <row r="34" spans="4:14">
      <c r="D34" s="51"/>
      <c r="E34" s="226"/>
      <c r="F34" s="226"/>
      <c r="G34" s="226"/>
      <c r="H34" s="226"/>
      <c r="I34" s="240" t="s">
        <v>102</v>
      </c>
      <c r="J34" s="240" t="s">
        <v>102</v>
      </c>
      <c r="K34" s="240" t="s">
        <v>102</v>
      </c>
      <c r="L34" s="240"/>
      <c r="M34" s="240" t="s">
        <v>102</v>
      </c>
      <c r="N34" s="240" t="s">
        <v>102</v>
      </c>
    </row>
    <row r="35" spans="4:14">
      <c r="D35" s="51"/>
      <c r="E35" s="226"/>
      <c r="F35" s="226"/>
      <c r="G35" s="226"/>
      <c r="H35" s="226"/>
      <c r="I35" s="226"/>
      <c r="J35" s="226"/>
      <c r="K35" s="226"/>
      <c r="L35" s="226"/>
      <c r="M35" s="226"/>
      <c r="N35" s="226"/>
    </row>
    <row r="36" spans="4:14">
      <c r="D36" s="51"/>
      <c r="E36" s="226"/>
      <c r="F36" s="226"/>
      <c r="G36" s="226"/>
      <c r="H36" s="226"/>
      <c r="I36" s="226"/>
      <c r="J36" s="226"/>
      <c r="K36" s="226"/>
      <c r="L36" s="226"/>
      <c r="M36" s="226"/>
      <c r="N36" s="226"/>
    </row>
    <row r="37" spans="4:14">
      <c r="D37" s="51"/>
      <c r="E37" s="226"/>
      <c r="F37" s="226"/>
      <c r="G37" s="226"/>
      <c r="H37" s="226"/>
      <c r="I37" s="226"/>
      <c r="J37" s="226"/>
      <c r="K37" s="226"/>
      <c r="L37" s="226"/>
      <c r="M37" s="226"/>
      <c r="N37" s="226"/>
    </row>
    <row r="38" spans="4:14">
      <c r="D38" s="51"/>
      <c r="E38" s="226"/>
      <c r="F38" s="226"/>
      <c r="G38" s="226"/>
      <c r="H38" s="226"/>
      <c r="I38" s="226"/>
      <c r="J38" s="226"/>
      <c r="K38" s="226"/>
      <c r="L38" s="226"/>
      <c r="M38" s="226"/>
      <c r="N38" s="226"/>
    </row>
    <row r="39" spans="4:14">
      <c r="D39" s="51"/>
      <c r="E39" s="226"/>
      <c r="F39" s="226"/>
      <c r="G39" s="226"/>
      <c r="H39" s="226"/>
      <c r="I39" s="226"/>
      <c r="J39" s="226"/>
      <c r="K39" s="226"/>
      <c r="L39" s="226"/>
      <c r="M39" s="226"/>
      <c r="N39" s="226"/>
    </row>
    <row r="44" spans="4:14">
      <c r="D44" s="51"/>
      <c r="E44" s="226"/>
      <c r="F44" s="226"/>
      <c r="G44" s="226"/>
      <c r="H44" s="226"/>
      <c r="I44" s="226"/>
      <c r="J44" s="226"/>
      <c r="K44" s="226"/>
      <c r="L44" s="226"/>
      <c r="M44" s="226"/>
      <c r="N44" s="226"/>
    </row>
  </sheetData>
  <hyperlinks>
    <hyperlink ref="AJ21" r:id="rId1" xr:uid="{5C48B715-86A7-4586-ABE5-0C00F0C5BE0C}"/>
    <hyperlink ref="AJ20" r:id="rId2" xr:uid="{FA044E55-5B88-4CEE-AD6D-88EFE2495966}"/>
  </hyperlinks>
  <pageMargins left="0.7" right="0.7" top="0.75" bottom="0.75" header="0.3" footer="0.3"/>
  <pageSetup orientation="portrait"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0.59999389629810485"/>
  </sheetPr>
  <dimension ref="A3:H24"/>
  <sheetViews>
    <sheetView workbookViewId="0"/>
  </sheetViews>
  <sheetFormatPr defaultColWidth="9" defaultRowHeight="15"/>
  <cols>
    <col min="1" max="1" width="3.75" style="47" customWidth="1"/>
    <col min="2" max="2" width="3.125" style="47" customWidth="1"/>
    <col min="3" max="3" width="3.375" style="47" customWidth="1"/>
    <col min="4" max="4" width="10.125" style="47" bestFit="1" customWidth="1"/>
    <col min="5" max="5" width="62.625" style="47" bestFit="1" customWidth="1"/>
    <col min="6" max="7" width="3.125" style="47" customWidth="1"/>
    <col min="8" max="9" width="8" style="47"/>
    <col min="10" max="10" width="9.25" style="47" bestFit="1" customWidth="1"/>
    <col min="11" max="16384" width="9" style="47"/>
  </cols>
  <sheetData>
    <row r="3" spans="1:8">
      <c r="A3" s="226"/>
      <c r="B3" s="46" t="s">
        <v>240</v>
      </c>
      <c r="C3" s="229"/>
      <c r="D3" s="229"/>
      <c r="E3" s="229"/>
      <c r="F3" s="229"/>
      <c r="G3" s="229"/>
      <c r="H3" s="226"/>
    </row>
    <row r="4" spans="1:8">
      <c r="A4" s="226"/>
      <c r="B4" s="240"/>
      <c r="C4" s="226"/>
      <c r="D4" s="226"/>
      <c r="E4" s="226"/>
      <c r="F4" s="226"/>
      <c r="G4" s="240"/>
      <c r="H4" s="226"/>
    </row>
    <row r="5" spans="1:8" ht="17.25">
      <c r="A5" s="232"/>
      <c r="B5" s="647"/>
      <c r="C5" s="232"/>
      <c r="D5" s="182">
        <v>50</v>
      </c>
      <c r="E5" s="648" t="s">
        <v>241</v>
      </c>
      <c r="F5" s="226"/>
      <c r="G5" s="240"/>
      <c r="H5" s="226"/>
    </row>
    <row r="6" spans="1:8" ht="15.75">
      <c r="A6" s="52"/>
      <c r="B6" s="61"/>
      <c r="C6" s="53"/>
      <c r="D6" s="157">
        <v>0.95</v>
      </c>
      <c r="E6" s="258" t="s">
        <v>242</v>
      </c>
      <c r="F6" s="226"/>
      <c r="G6" s="240"/>
      <c r="H6" s="51"/>
    </row>
    <row r="7" spans="1:8">
      <c r="A7" s="53"/>
      <c r="B7" s="60"/>
      <c r="C7" s="52"/>
      <c r="D7" s="158">
        <f>D6*D5</f>
        <v>47.5</v>
      </c>
      <c r="E7" s="159" t="s">
        <v>243</v>
      </c>
      <c r="F7" s="226"/>
      <c r="G7" s="240"/>
      <c r="H7" s="226"/>
    </row>
    <row r="8" spans="1:8">
      <c r="A8" s="52"/>
      <c r="B8" s="62"/>
      <c r="C8" s="54"/>
      <c r="D8" s="160">
        <f>D7*8760</f>
        <v>416100</v>
      </c>
      <c r="E8" s="159" t="s">
        <v>244</v>
      </c>
      <c r="F8" s="226"/>
      <c r="G8" s="240"/>
      <c r="H8" s="51"/>
    </row>
    <row r="9" spans="1:8" ht="17.25">
      <c r="A9" s="54"/>
      <c r="B9" s="63"/>
      <c r="C9" s="55"/>
      <c r="D9" s="161">
        <v>20</v>
      </c>
      <c r="E9" s="584" t="s">
        <v>245</v>
      </c>
      <c r="F9" s="226"/>
      <c r="G9" s="240"/>
      <c r="H9" s="51"/>
    </row>
    <row r="10" spans="1:8" ht="17.25">
      <c r="A10" s="55"/>
      <c r="B10" s="64"/>
      <c r="C10" s="56"/>
      <c r="D10" s="161">
        <v>2</v>
      </c>
      <c r="E10" s="584" t="s">
        <v>246</v>
      </c>
      <c r="F10" s="226"/>
      <c r="G10" s="240"/>
      <c r="H10" s="51"/>
    </row>
    <row r="11" spans="1:8" ht="17.25">
      <c r="A11" s="55"/>
      <c r="B11" s="63"/>
      <c r="C11" s="55"/>
      <c r="D11" s="162">
        <v>20000</v>
      </c>
      <c r="E11" s="584" t="s">
        <v>247</v>
      </c>
      <c r="F11" s="226"/>
      <c r="G11" s="240"/>
      <c r="H11" s="51"/>
    </row>
    <row r="12" spans="1:8" ht="17.25">
      <c r="A12" s="55"/>
      <c r="B12" s="63"/>
      <c r="C12" s="55"/>
      <c r="D12" s="162">
        <v>500000</v>
      </c>
      <c r="E12" s="584" t="s">
        <v>248</v>
      </c>
      <c r="F12" s="226"/>
      <c r="G12" s="240"/>
      <c r="H12" s="51"/>
    </row>
    <row r="13" spans="1:8">
      <c r="A13" s="56"/>
      <c r="B13" s="649"/>
      <c r="C13" s="650"/>
      <c r="D13" s="606">
        <f>D9*D11+D10*D12</f>
        <v>1400000</v>
      </c>
      <c r="E13" s="258" t="s">
        <v>249</v>
      </c>
      <c r="F13" s="226"/>
      <c r="G13" s="240"/>
      <c r="H13" s="51"/>
    </row>
    <row r="14" spans="1:8">
      <c r="A14" s="55"/>
      <c r="B14" s="65"/>
      <c r="C14" s="57"/>
      <c r="D14" s="651">
        <f>D13/D8</f>
        <v>3.3645758231194423</v>
      </c>
      <c r="E14" s="255" t="s">
        <v>250</v>
      </c>
      <c r="F14" s="226"/>
      <c r="G14" s="240"/>
      <c r="H14" s="51"/>
    </row>
    <row r="15" spans="1:8" ht="17.25">
      <c r="A15" s="55"/>
      <c r="B15" s="240"/>
      <c r="C15" s="226"/>
      <c r="D15" s="156" t="s">
        <v>251</v>
      </c>
      <c r="E15" s="226"/>
      <c r="F15" s="226"/>
      <c r="G15" s="240"/>
      <c r="H15" s="226"/>
    </row>
    <row r="16" spans="1:8">
      <c r="A16" s="226"/>
      <c r="B16" s="240"/>
      <c r="C16" s="240"/>
      <c r="D16" s="240"/>
      <c r="E16" s="240"/>
      <c r="F16" s="240"/>
      <c r="G16" s="240"/>
      <c r="H16" s="226"/>
    </row>
    <row r="24" spans="4:4">
      <c r="D24" s="652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CB415-7BB8-416D-A8E8-A1E16B87D9C2}">
  <sheetPr>
    <tabColor theme="9" tint="0.59999389629810485"/>
    <pageSetUpPr fitToPage="1"/>
  </sheetPr>
  <dimension ref="B2:BT167"/>
  <sheetViews>
    <sheetView zoomScale="70" zoomScaleNormal="70" workbookViewId="0">
      <selection activeCell="AF68" sqref="AF68"/>
    </sheetView>
  </sheetViews>
  <sheetFormatPr defaultColWidth="9" defaultRowHeight="15"/>
  <cols>
    <col min="1" max="1" width="3.625" style="106" customWidth="1"/>
    <col min="2" max="3" width="3" style="106" customWidth="1"/>
    <col min="4" max="4" width="3.5" style="106" bestFit="1" customWidth="1"/>
    <col min="5" max="5" width="87.625" style="106" customWidth="1"/>
    <col min="6" max="7" width="3" style="106" customWidth="1"/>
    <col min="8" max="8" width="3.375" style="106" customWidth="1"/>
    <col min="9" max="10" width="3.625" style="106" customWidth="1"/>
    <col min="11" max="11" width="14.625" style="106" customWidth="1"/>
    <col min="12" max="12" width="76.875" style="106" customWidth="1"/>
    <col min="13" max="14" width="3.625" style="106" customWidth="1"/>
    <col min="15" max="15" width="3.375" style="106" customWidth="1"/>
    <col min="16" max="17" width="3.625" style="106" customWidth="1"/>
    <col min="18" max="21" width="9.625" style="106" customWidth="1"/>
    <col min="22" max="22" width="11.875" style="106" bestFit="1" customWidth="1"/>
    <col min="23" max="26" width="3.625" style="106" customWidth="1"/>
    <col min="27" max="27" width="4" style="106" customWidth="1"/>
    <col min="28" max="28" width="7.625" style="106" bestFit="1" customWidth="1"/>
    <col min="29" max="29" width="11.875" style="106" bestFit="1" customWidth="1"/>
    <col min="30" max="30" width="9.25" style="106" bestFit="1" customWidth="1"/>
    <col min="31" max="31" width="8.125" style="106" bestFit="1" customWidth="1"/>
    <col min="32" max="32" width="10.875" style="106" bestFit="1" customWidth="1"/>
    <col min="33" max="33" width="12.125" style="106" bestFit="1" customWidth="1"/>
    <col min="34" max="34" width="8.375" style="106" bestFit="1" customWidth="1"/>
    <col min="35" max="35" width="10.25" style="106" bestFit="1" customWidth="1"/>
    <col min="36" max="36" width="8.75" style="106" bestFit="1" customWidth="1"/>
    <col min="37" max="37" width="11" style="106" bestFit="1" customWidth="1"/>
    <col min="38" max="41" width="3.625" style="106" customWidth="1"/>
    <col min="42" max="42" width="3" style="106" customWidth="1"/>
    <col min="43" max="44" width="10" style="106" customWidth="1"/>
    <col min="45" max="45" width="7.625" style="106" bestFit="1" customWidth="1"/>
    <col min="46" max="46" width="10" style="106" customWidth="1"/>
    <col min="47" max="47" width="3" style="106" customWidth="1"/>
    <col min="48" max="48" width="3.625" style="106" customWidth="1"/>
    <col min="49" max="16384" width="9" style="106"/>
  </cols>
  <sheetData>
    <row r="2" spans="2:48">
      <c r="B2" s="46" t="s">
        <v>252</v>
      </c>
      <c r="C2" s="46"/>
      <c r="D2" s="229"/>
      <c r="E2" s="229"/>
      <c r="F2" s="229"/>
      <c r="G2" s="229"/>
      <c r="H2" s="226"/>
      <c r="I2" s="46" t="s">
        <v>253</v>
      </c>
      <c r="J2" s="229"/>
      <c r="K2" s="229"/>
      <c r="L2" s="229"/>
      <c r="M2" s="229"/>
      <c r="N2" s="229"/>
      <c r="O2" s="226"/>
      <c r="P2" s="46" t="str">
        <f>"Forecast Retail EI Sales for "&amp;EI_Customers_Annual_aMW&amp;" aMW at $"&amp;ROUND(RS17a_Average_Depart,2)&amp;" per MWh"</f>
        <v>Forecast Retail EI Sales for 23.3445 aMW at $111.64 per MWh</v>
      </c>
      <c r="Q2" s="229"/>
      <c r="R2" s="229"/>
      <c r="S2" s="229"/>
      <c r="T2" s="229"/>
      <c r="U2" s="229"/>
      <c r="V2" s="229"/>
      <c r="W2" s="229"/>
      <c r="X2" s="229"/>
      <c r="Y2" s="226"/>
      <c r="Z2" s="169" t="s">
        <v>254</v>
      </c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226"/>
      <c r="AO2" s="89" t="s">
        <v>255</v>
      </c>
      <c r="AP2" s="653"/>
      <c r="AQ2" s="653"/>
      <c r="AR2" s="653"/>
      <c r="AS2" s="653"/>
      <c r="AT2" s="653"/>
      <c r="AU2" s="653"/>
      <c r="AV2" s="653"/>
    </row>
    <row r="3" spans="2:48">
      <c r="B3" s="240"/>
      <c r="C3" s="226"/>
      <c r="D3" s="226"/>
      <c r="E3" s="226"/>
      <c r="F3" s="654"/>
      <c r="G3" s="240"/>
      <c r="H3" s="226"/>
      <c r="I3" s="240"/>
      <c r="J3" s="226"/>
      <c r="K3" s="226"/>
      <c r="L3" s="226"/>
      <c r="M3" s="226"/>
      <c r="N3" s="240"/>
      <c r="O3" s="226"/>
      <c r="P3" s="655"/>
      <c r="Q3" s="226"/>
      <c r="R3" s="226"/>
      <c r="S3" s="226"/>
      <c r="T3" s="226"/>
      <c r="U3" s="226"/>
      <c r="V3" s="226"/>
      <c r="W3" s="226"/>
      <c r="X3" s="240"/>
      <c r="Y3" s="226"/>
      <c r="Z3" s="655"/>
      <c r="AA3" s="226"/>
      <c r="AB3" s="226"/>
      <c r="AC3" s="226"/>
      <c r="AD3" s="226"/>
      <c r="AE3" s="226"/>
      <c r="AF3" s="226"/>
      <c r="AG3" s="226"/>
      <c r="AH3" s="226"/>
      <c r="AI3" s="226"/>
      <c r="AJ3" s="226"/>
      <c r="AK3" s="226"/>
      <c r="AL3" s="226"/>
      <c r="AM3" s="240"/>
      <c r="AN3" s="226"/>
      <c r="AO3" s="656"/>
      <c r="AP3" s="657"/>
      <c r="AQ3" s="657"/>
      <c r="AR3" s="657"/>
      <c r="AS3" s="657"/>
      <c r="AT3" s="657"/>
      <c r="AU3" s="657"/>
      <c r="AV3" s="656"/>
    </row>
    <row r="4" spans="2:48">
      <c r="B4" s="240"/>
      <c r="C4" s="226"/>
      <c r="D4" s="236" t="s">
        <v>256</v>
      </c>
      <c r="E4" s="238"/>
      <c r="F4" s="232"/>
      <c r="G4" s="240"/>
      <c r="H4" s="226"/>
      <c r="I4" s="240"/>
      <c r="J4" s="226"/>
      <c r="K4" s="190">
        <f>'[4]Summary Info'!$X$5/1000</f>
        <v>0.5403</v>
      </c>
      <c r="L4" s="249" t="s">
        <v>257</v>
      </c>
      <c r="M4" s="226"/>
      <c r="N4" s="240"/>
      <c r="O4" s="226"/>
      <c r="P4" s="655"/>
      <c r="Q4" s="226"/>
      <c r="R4" s="290" t="s">
        <v>258</v>
      </c>
      <c r="S4" s="658" t="s">
        <v>76</v>
      </c>
      <c r="T4" s="659"/>
      <c r="U4" s="659"/>
      <c r="V4" s="659"/>
      <c r="W4" s="226"/>
      <c r="X4" s="240"/>
      <c r="Y4" s="226"/>
      <c r="Z4" s="240"/>
      <c r="AA4" s="226"/>
      <c r="AB4" s="660" t="s">
        <v>258</v>
      </c>
      <c r="AC4" s="661" t="s">
        <v>259</v>
      </c>
      <c r="AD4" s="238"/>
      <c r="AE4" s="237" t="s">
        <v>260</v>
      </c>
      <c r="AF4" s="238"/>
      <c r="AG4" s="662" t="s">
        <v>261</v>
      </c>
      <c r="AH4" s="236" t="s">
        <v>262</v>
      </c>
      <c r="AI4" s="238"/>
      <c r="AJ4" s="236" t="s">
        <v>263</v>
      </c>
      <c r="AK4" s="238"/>
      <c r="AL4" s="226"/>
      <c r="AM4" s="240"/>
      <c r="AN4" s="226"/>
      <c r="AO4" s="656"/>
      <c r="AP4" s="657"/>
      <c r="AQ4" s="663"/>
      <c r="AR4" s="664" t="s">
        <v>76</v>
      </c>
      <c r="AS4" s="665"/>
      <c r="AT4" s="664" t="s">
        <v>264</v>
      </c>
      <c r="AU4" s="657"/>
      <c r="AV4" s="656"/>
    </row>
    <row r="5" spans="2:48">
      <c r="B5" s="240"/>
      <c r="C5" s="226"/>
      <c r="D5" s="666" t="s">
        <v>265</v>
      </c>
      <c r="E5" s="166" t="s">
        <v>266</v>
      </c>
      <c r="F5" s="232"/>
      <c r="G5" s="240"/>
      <c r="H5" s="226"/>
      <c r="I5" s="240"/>
      <c r="J5" s="226"/>
      <c r="K5" s="173">
        <v>111.64107816123101</v>
      </c>
      <c r="L5" s="92" t="s">
        <v>267</v>
      </c>
      <c r="M5" s="226"/>
      <c r="N5" s="240"/>
      <c r="O5" s="226"/>
      <c r="P5" s="655"/>
      <c r="Q5" s="226"/>
      <c r="R5" s="295"/>
      <c r="S5" s="295" t="s">
        <v>268</v>
      </c>
      <c r="T5" s="295" t="s">
        <v>269</v>
      </c>
      <c r="U5" s="295" t="s">
        <v>270</v>
      </c>
      <c r="V5" s="667" t="s">
        <v>271</v>
      </c>
      <c r="W5" s="226"/>
      <c r="X5" s="240"/>
      <c r="Y5" s="226"/>
      <c r="Z5" s="240"/>
      <c r="AA5" s="226"/>
      <c r="AB5" s="604"/>
      <c r="AC5" s="295" t="s">
        <v>272</v>
      </c>
      <c r="AD5" s="295" t="s">
        <v>270</v>
      </c>
      <c r="AE5" s="242" t="s">
        <v>273</v>
      </c>
      <c r="AF5" s="242" t="s">
        <v>274</v>
      </c>
      <c r="AG5" s="622" t="s">
        <v>275</v>
      </c>
      <c r="AH5" s="622" t="s">
        <v>276</v>
      </c>
      <c r="AI5" s="622" t="s">
        <v>277</v>
      </c>
      <c r="AJ5" s="622" t="s">
        <v>270</v>
      </c>
      <c r="AK5" s="622" t="s">
        <v>81</v>
      </c>
      <c r="AL5" s="226"/>
      <c r="AM5" s="240"/>
      <c r="AN5" s="226"/>
      <c r="AO5" s="656"/>
      <c r="AP5" s="657"/>
      <c r="AQ5" s="668" t="s">
        <v>258</v>
      </c>
      <c r="AR5" s="669" t="s">
        <v>278</v>
      </c>
      <c r="AS5" s="670" t="s">
        <v>76</v>
      </c>
      <c r="AT5" s="669" t="s">
        <v>279</v>
      </c>
      <c r="AU5" s="657"/>
      <c r="AV5" s="656"/>
    </row>
    <row r="6" spans="2:48">
      <c r="B6" s="240"/>
      <c r="C6" s="226"/>
      <c r="D6" s="671" t="s">
        <v>280</v>
      </c>
      <c r="E6" s="164" t="s">
        <v>281</v>
      </c>
      <c r="F6" s="232"/>
      <c r="G6" s="240"/>
      <c r="H6" s="226"/>
      <c r="I6" s="240"/>
      <c r="J6" s="226"/>
      <c r="K6" s="672">
        <f>RS17a_Average*1000</f>
        <v>111.64100000000001</v>
      </c>
      <c r="L6" s="92" t="s">
        <v>311</v>
      </c>
      <c r="M6" s="226"/>
      <c r="N6" s="240"/>
      <c r="O6" s="226"/>
      <c r="P6" s="655"/>
      <c r="Q6" s="226"/>
      <c r="R6" s="97">
        <v>43831</v>
      </c>
      <c r="S6" s="98">
        <f>R7-R6</f>
        <v>31</v>
      </c>
      <c r="T6" s="98">
        <f>S6*24</f>
        <v>744</v>
      </c>
      <c r="U6" s="98">
        <f t="shared" ref="U6:U17" si="0">EI_Customers_Annual_aMW*T6</f>
        <v>17368.308000000001</v>
      </c>
      <c r="V6" s="673">
        <f>U6*RS17a_Average_Depart</f>
        <v>1939016.6309563338</v>
      </c>
      <c r="W6" s="226"/>
      <c r="X6" s="240"/>
      <c r="Y6" s="226"/>
      <c r="Z6" s="240"/>
      <c r="AA6" s="226"/>
      <c r="AB6" s="97">
        <f>R6</f>
        <v>43831</v>
      </c>
      <c r="AC6" s="98">
        <f>SUM(V6:$V$17)</f>
        <v>22892906.030000586</v>
      </c>
      <c r="AD6" s="98">
        <f>SUM(U6:$U$17)</f>
        <v>205058.08800000002</v>
      </c>
      <c r="AE6" s="674">
        <f>AT7</f>
        <v>27.912063978944541</v>
      </c>
      <c r="AF6" s="98">
        <f>AE6*AD6</f>
        <v>5723594.4716560403</v>
      </c>
      <c r="AG6" s="98">
        <f>AF6-AC6</f>
        <v>-17169311.558344547</v>
      </c>
      <c r="AH6" s="101">
        <v>2.5000000000000001E-3</v>
      </c>
      <c r="AI6" s="675">
        <f>SUM($AH$6:AH6)</f>
        <v>2.5000000000000001E-3</v>
      </c>
      <c r="AJ6" s="98">
        <f>-AH6*AD6</f>
        <v>-512.64522000000011</v>
      </c>
      <c r="AK6" s="98">
        <f>AG6*AH6</f>
        <v>-42923.278895861367</v>
      </c>
      <c r="AL6" s="226"/>
      <c r="AM6" s="240"/>
      <c r="AN6" s="226"/>
      <c r="AO6" s="656"/>
      <c r="AP6" s="657"/>
      <c r="AQ6" s="676"/>
      <c r="AR6" s="677" t="s">
        <v>237</v>
      </c>
      <c r="AS6" s="678" t="s">
        <v>269</v>
      </c>
      <c r="AT6" s="677" t="s">
        <v>237</v>
      </c>
      <c r="AU6" s="657"/>
      <c r="AV6" s="656"/>
    </row>
    <row r="7" spans="2:48">
      <c r="B7" s="240"/>
      <c r="C7" s="226"/>
      <c r="D7" s="671" t="s">
        <v>283</v>
      </c>
      <c r="E7" s="164" t="s">
        <v>284</v>
      </c>
      <c r="F7" s="232"/>
      <c r="G7" s="240"/>
      <c r="H7" s="226"/>
      <c r="I7" s="240"/>
      <c r="J7" s="226"/>
      <c r="K7" s="679">
        <f>K5-K6</f>
        <v>7.8161231002127352E-5</v>
      </c>
      <c r="L7" s="258" t="s">
        <v>285</v>
      </c>
      <c r="M7" s="226"/>
      <c r="N7" s="240"/>
      <c r="O7" s="226"/>
      <c r="P7" s="655"/>
      <c r="Q7" s="226"/>
      <c r="R7" s="99">
        <v>43862</v>
      </c>
      <c r="S7" s="100">
        <f t="shared" ref="S7:S16" si="1">R8-R7</f>
        <v>29</v>
      </c>
      <c r="T7" s="100">
        <f t="shared" ref="T7:T17" si="2">S7*24</f>
        <v>696</v>
      </c>
      <c r="U7" s="100">
        <f t="shared" si="0"/>
        <v>16247.772000000001</v>
      </c>
      <c r="V7" s="680">
        <f t="shared" ref="V7:V17" si="3">U7*RS17a_Average_Depart</f>
        <v>1813918.7837978608</v>
      </c>
      <c r="W7" s="226"/>
      <c r="X7" s="240"/>
      <c r="Y7" s="226"/>
      <c r="Z7" s="240"/>
      <c r="AA7" s="226"/>
      <c r="AB7" s="99">
        <f t="shared" ref="AB7:AB17" si="4">R7</f>
        <v>43862</v>
      </c>
      <c r="AC7" s="100">
        <f>SUM(V7:$V$17)</f>
        <v>20953889.399044253</v>
      </c>
      <c r="AD7" s="100">
        <f>SUM(U7:$U$17)</f>
        <v>187689.78</v>
      </c>
      <c r="AE7" s="681">
        <f t="shared" ref="AE7:AE17" si="5">AT8</f>
        <v>28.129686929764215</v>
      </c>
      <c r="AF7" s="100">
        <f>AE7*AD7</f>
        <v>5279654.7513163211</v>
      </c>
      <c r="AG7" s="100">
        <f t="shared" ref="AG7:AG17" si="6">AF7-AC7</f>
        <v>-15674234.647727933</v>
      </c>
      <c r="AH7" s="102">
        <v>2.18E-2</v>
      </c>
      <c r="AI7" s="682">
        <f>SUM($AH$6:AH7)</f>
        <v>2.4299999999999999E-2</v>
      </c>
      <c r="AJ7" s="100">
        <f t="shared" ref="AJ7:AJ17" si="7">-AH7*AD7</f>
        <v>-4091.6372040000001</v>
      </c>
      <c r="AK7" s="100">
        <f>AG7*AH7</f>
        <v>-341698.31532046892</v>
      </c>
      <c r="AL7" s="226"/>
      <c r="AM7" s="240"/>
      <c r="AN7" s="226"/>
      <c r="AO7" s="656"/>
      <c r="AP7" s="657"/>
      <c r="AQ7" s="683">
        <v>43831</v>
      </c>
      <c r="AR7" s="684">
        <v>34.666129032258063</v>
      </c>
      <c r="AS7" s="685">
        <v>744</v>
      </c>
      <c r="AT7" s="684">
        <f>SUMPRODUCT(AR7:AR18,AS7:AS18)/SUM(AS7:AS18)</f>
        <v>27.912063978944541</v>
      </c>
      <c r="AU7" s="657"/>
      <c r="AV7" s="656"/>
    </row>
    <row r="8" spans="2:48">
      <c r="B8" s="240"/>
      <c r="C8" s="226"/>
      <c r="D8" s="671" t="s">
        <v>286</v>
      </c>
      <c r="E8" s="164" t="s">
        <v>287</v>
      </c>
      <c r="F8" s="232"/>
      <c r="G8" s="240"/>
      <c r="H8" s="226"/>
      <c r="I8" s="240"/>
      <c r="J8" s="226"/>
      <c r="K8" s="679"/>
      <c r="L8" s="258"/>
      <c r="M8" s="226"/>
      <c r="N8" s="240"/>
      <c r="O8" s="226"/>
      <c r="P8" s="655"/>
      <c r="Q8" s="226"/>
      <c r="R8" s="99">
        <v>43891</v>
      </c>
      <c r="S8" s="100">
        <f t="shared" si="1"/>
        <v>31</v>
      </c>
      <c r="T8" s="100">
        <f t="shared" si="2"/>
        <v>744</v>
      </c>
      <c r="U8" s="100">
        <f t="shared" si="0"/>
        <v>17368.308000000001</v>
      </c>
      <c r="V8" s="680">
        <f t="shared" si="3"/>
        <v>1939016.6309563338</v>
      </c>
      <c r="W8" s="226"/>
      <c r="X8" s="240"/>
      <c r="Y8" s="226"/>
      <c r="Z8" s="240"/>
      <c r="AA8" s="226"/>
      <c r="AB8" s="99">
        <f t="shared" si="4"/>
        <v>43891</v>
      </c>
      <c r="AC8" s="100">
        <f>SUM(V8:$V$17)</f>
        <v>19139970.615246389</v>
      </c>
      <c r="AD8" s="100">
        <f>SUM(U8:$U$17)</f>
        <v>171442.008</v>
      </c>
      <c r="AE8" s="681">
        <f t="shared" si="5"/>
        <v>28.716937213590054</v>
      </c>
      <c r="AF8" s="100">
        <f t="shared" ref="AF8:AF17" si="8">AE8*AD8</f>
        <v>4923289.3795078034</v>
      </c>
      <c r="AG8" s="100">
        <f t="shared" si="6"/>
        <v>-14216681.235738587</v>
      </c>
      <c r="AH8" s="102">
        <v>2.6800000000000001E-2</v>
      </c>
      <c r="AI8" s="682">
        <f>SUM($AH$6:AH8)</f>
        <v>5.11E-2</v>
      </c>
      <c r="AJ8" s="100">
        <f t="shared" si="7"/>
        <v>-4594.6458143999998</v>
      </c>
      <c r="AK8" s="100">
        <f t="shared" ref="AK8:AK17" si="9">AG8*AH8</f>
        <v>-381007.05711779412</v>
      </c>
      <c r="AL8" s="226"/>
      <c r="AM8" s="240"/>
      <c r="AN8" s="226"/>
      <c r="AO8" s="656"/>
      <c r="AP8" s="657"/>
      <c r="AQ8" s="686">
        <v>43862</v>
      </c>
      <c r="AR8" s="687">
        <v>28.916666666666668</v>
      </c>
      <c r="AS8" s="688">
        <v>696</v>
      </c>
      <c r="AT8" s="687">
        <f>SUMPRODUCT(AR8:AR19,AS8:AS19)/SUM(AS8:AS19)</f>
        <v>28.129686929764215</v>
      </c>
      <c r="AU8" s="657"/>
      <c r="AV8" s="656"/>
    </row>
    <row r="9" spans="2:48">
      <c r="B9" s="240"/>
      <c r="C9" s="226"/>
      <c r="D9" s="671" t="s">
        <v>288</v>
      </c>
      <c r="E9" s="689" t="s">
        <v>289</v>
      </c>
      <c r="F9" s="232"/>
      <c r="G9" s="240"/>
      <c r="H9" s="226"/>
      <c r="I9" s="240"/>
      <c r="J9" s="226"/>
      <c r="K9" s="174">
        <f>Expected_12_Month_Loss_17a</f>
        <v>-2864770.8410285008</v>
      </c>
      <c r="L9" s="258" t="s">
        <v>290</v>
      </c>
      <c r="M9" s="226"/>
      <c r="N9" s="240"/>
      <c r="O9" s="226"/>
      <c r="P9" s="655"/>
      <c r="Q9" s="226"/>
      <c r="R9" s="90">
        <v>43922</v>
      </c>
      <c r="S9" s="93">
        <f t="shared" si="1"/>
        <v>30</v>
      </c>
      <c r="T9" s="93">
        <f t="shared" si="2"/>
        <v>720</v>
      </c>
      <c r="U9" s="93">
        <f>EI_Customers_Annual_aMW*T9</f>
        <v>16808.04</v>
      </c>
      <c r="V9" s="690">
        <f t="shared" si="3"/>
        <v>1876467.7073770973</v>
      </c>
      <c r="W9" s="226"/>
      <c r="X9" s="240"/>
      <c r="Y9" s="226"/>
      <c r="Z9" s="240"/>
      <c r="AA9" s="226"/>
      <c r="AB9" s="90">
        <f t="shared" si="4"/>
        <v>43922</v>
      </c>
      <c r="AC9" s="93">
        <f>SUM(V9:$V$17)</f>
        <v>17200953.984290056</v>
      </c>
      <c r="AD9" s="93">
        <f>SUM(U9:$U$17)</f>
        <v>154073.69999999998</v>
      </c>
      <c r="AE9" s="679">
        <f t="shared" si="5"/>
        <v>29.437690899086537</v>
      </c>
      <c r="AF9" s="93">
        <f t="shared" si="8"/>
        <v>4535573.9562785886</v>
      </c>
      <c r="AG9" s="93">
        <f t="shared" si="6"/>
        <v>-12665380.028011467</v>
      </c>
      <c r="AH9" s="103">
        <v>2.87E-2</v>
      </c>
      <c r="AI9" s="691">
        <f>SUM($AH$6:AH9)</f>
        <v>7.9799999999999996E-2</v>
      </c>
      <c r="AJ9" s="93">
        <f t="shared" si="7"/>
        <v>-4421.9151899999997</v>
      </c>
      <c r="AK9" s="93">
        <f t="shared" si="9"/>
        <v>-363496.40680392913</v>
      </c>
      <c r="AL9" s="226"/>
      <c r="AM9" s="240"/>
      <c r="AN9" s="226"/>
      <c r="AO9" s="656"/>
      <c r="AP9" s="657"/>
      <c r="AQ9" s="686">
        <v>43891</v>
      </c>
      <c r="AR9" s="687">
        <v>19.603024193548389</v>
      </c>
      <c r="AS9" s="688">
        <v>743</v>
      </c>
      <c r="AT9" s="687">
        <f t="shared" ref="AT9:AT17" si="10">SUMPRODUCT(AR9:AR20,AS9:AS20)/SUM(AS9:AS20)</f>
        <v>28.716937213590054</v>
      </c>
      <c r="AU9" s="657"/>
      <c r="AV9" s="656"/>
    </row>
    <row r="10" spans="2:48">
      <c r="B10" s="240"/>
      <c r="C10" s="226"/>
      <c r="D10" s="671" t="s">
        <v>291</v>
      </c>
      <c r="E10" s="689" t="s">
        <v>292</v>
      </c>
      <c r="F10" s="232"/>
      <c r="G10" s="240"/>
      <c r="H10" s="226"/>
      <c r="I10" s="240"/>
      <c r="J10" s="226"/>
      <c r="K10" s="93" cm="1">
        <f t="array" ref="K10">Forecast_Retail_MWh_17a+Expected_12_Month_MWh_Loss_17a</f>
        <v>170152.43914440001</v>
      </c>
      <c r="L10" s="258" t="s">
        <v>293</v>
      </c>
      <c r="M10" s="226"/>
      <c r="N10" s="240"/>
      <c r="O10" s="226"/>
      <c r="P10" s="655"/>
      <c r="Q10" s="226"/>
      <c r="R10" s="90">
        <v>43952</v>
      </c>
      <c r="S10" s="93">
        <f t="shared" si="1"/>
        <v>31</v>
      </c>
      <c r="T10" s="93">
        <f t="shared" si="2"/>
        <v>744</v>
      </c>
      <c r="U10" s="93">
        <f t="shared" si="0"/>
        <v>17368.308000000001</v>
      </c>
      <c r="V10" s="690">
        <f t="shared" si="3"/>
        <v>1939016.6309563338</v>
      </c>
      <c r="W10" s="226"/>
      <c r="X10" s="240"/>
      <c r="Y10" s="226"/>
      <c r="Z10" s="240"/>
      <c r="AA10" s="226"/>
      <c r="AB10" s="90">
        <f t="shared" si="4"/>
        <v>43952</v>
      </c>
      <c r="AC10" s="93">
        <f>SUM(V10:$V$17)</f>
        <v>15324486.276912959</v>
      </c>
      <c r="AD10" s="93">
        <f>SUM(U10:$U$17)</f>
        <v>137265.66</v>
      </c>
      <c r="AE10" s="679">
        <f t="shared" si="5"/>
        <v>29.68481418675777</v>
      </c>
      <c r="AF10" s="93">
        <f t="shared" si="8"/>
        <v>4074705.6113226684</v>
      </c>
      <c r="AG10" s="93">
        <f t="shared" si="6"/>
        <v>-11249780.66559029</v>
      </c>
      <c r="AH10" s="103">
        <v>4.2799999999999998E-2</v>
      </c>
      <c r="AI10" s="691">
        <f>SUM($AH$6:AH10)</f>
        <v>0.12259999999999999</v>
      </c>
      <c r="AJ10" s="93">
        <f t="shared" si="7"/>
        <v>-5874.9702479999996</v>
      </c>
      <c r="AK10" s="93">
        <f t="shared" si="9"/>
        <v>-481490.61248726438</v>
      </c>
      <c r="AL10" s="226"/>
      <c r="AM10" s="240"/>
      <c r="AN10" s="226"/>
      <c r="AO10" s="656"/>
      <c r="AP10" s="657"/>
      <c r="AQ10" s="692">
        <v>43922</v>
      </c>
      <c r="AR10" s="693">
        <v>14.645555555555555</v>
      </c>
      <c r="AS10" s="694">
        <v>720</v>
      </c>
      <c r="AT10" s="693">
        <f t="shared" si="10"/>
        <v>29.437690899086537</v>
      </c>
      <c r="AU10" s="657"/>
      <c r="AV10" s="656"/>
    </row>
    <row r="11" spans="2:48">
      <c r="B11" s="240"/>
      <c r="C11" s="226"/>
      <c r="D11" s="671" t="s">
        <v>294</v>
      </c>
      <c r="E11" s="695" t="s">
        <v>295</v>
      </c>
      <c r="F11" s="232"/>
      <c r="G11" s="240"/>
      <c r="H11" s="226"/>
      <c r="I11" s="240"/>
      <c r="J11" s="226"/>
      <c r="K11" s="175">
        <f>K9/K10</f>
        <v>-16.83649588236176</v>
      </c>
      <c r="L11" s="94" t="s">
        <v>296</v>
      </c>
      <c r="M11" s="226"/>
      <c r="N11" s="240"/>
      <c r="O11" s="226"/>
      <c r="P11" s="655"/>
      <c r="Q11" s="226"/>
      <c r="R11" s="90">
        <v>43983</v>
      </c>
      <c r="S11" s="93">
        <f t="shared" si="1"/>
        <v>30</v>
      </c>
      <c r="T11" s="93">
        <f t="shared" si="2"/>
        <v>720</v>
      </c>
      <c r="U11" s="93">
        <f t="shared" si="0"/>
        <v>16808.04</v>
      </c>
      <c r="V11" s="690">
        <f t="shared" si="3"/>
        <v>1876467.7073770973</v>
      </c>
      <c r="W11" s="226"/>
      <c r="X11" s="240"/>
      <c r="Y11" s="226"/>
      <c r="Z11" s="240"/>
      <c r="AA11" s="226"/>
      <c r="AB11" s="90">
        <f t="shared" si="4"/>
        <v>43983</v>
      </c>
      <c r="AC11" s="93">
        <f>SUM(V11:$V$17)</f>
        <v>13385469.645956626</v>
      </c>
      <c r="AD11" s="93">
        <f>SUM(U11:$U$17)</f>
        <v>119897.352</v>
      </c>
      <c r="AE11" s="679">
        <f t="shared" si="5"/>
        <v>30.038832451597951</v>
      </c>
      <c r="AF11" s="93">
        <f t="shared" si="8"/>
        <v>3601576.4681182625</v>
      </c>
      <c r="AG11" s="93">
        <f t="shared" si="6"/>
        <v>-9783893.1778383628</v>
      </c>
      <c r="AH11" s="103">
        <v>3.5099999999999999E-2</v>
      </c>
      <c r="AI11" s="691">
        <f>SUM($AH$6:AH11)</f>
        <v>0.15769999999999998</v>
      </c>
      <c r="AJ11" s="93">
        <f t="shared" si="7"/>
        <v>-4208.3970552000001</v>
      </c>
      <c r="AK11" s="93">
        <f t="shared" si="9"/>
        <v>-343414.6505421265</v>
      </c>
      <c r="AL11" s="226"/>
      <c r="AM11" s="240"/>
      <c r="AN11" s="226"/>
      <c r="AO11" s="656"/>
      <c r="AP11" s="657"/>
      <c r="AQ11" s="692">
        <v>43952</v>
      </c>
      <c r="AR11" s="693">
        <v>10.587096774193549</v>
      </c>
      <c r="AS11" s="694">
        <v>744</v>
      </c>
      <c r="AT11" s="693">
        <f t="shared" si="10"/>
        <v>29.68481418675777</v>
      </c>
      <c r="AU11" s="657"/>
      <c r="AV11" s="656"/>
    </row>
    <row r="12" spans="2:48">
      <c r="B12" s="240"/>
      <c r="C12" s="226"/>
      <c r="D12" s="671" t="s">
        <v>297</v>
      </c>
      <c r="E12" s="695" t="s">
        <v>298</v>
      </c>
      <c r="F12" s="232"/>
      <c r="G12" s="240"/>
      <c r="H12" s="226"/>
      <c r="I12" s="240"/>
      <c r="J12" s="226"/>
      <c r="K12" s="139" t="s">
        <v>299</v>
      </c>
      <c r="L12" s="226"/>
      <c r="M12" s="226"/>
      <c r="N12" s="240"/>
      <c r="O12" s="226"/>
      <c r="P12" s="655"/>
      <c r="Q12" s="226"/>
      <c r="R12" s="99">
        <v>44013</v>
      </c>
      <c r="S12" s="100">
        <f t="shared" si="1"/>
        <v>31</v>
      </c>
      <c r="T12" s="100">
        <f t="shared" si="2"/>
        <v>744</v>
      </c>
      <c r="U12" s="100">
        <f t="shared" si="0"/>
        <v>17368.308000000001</v>
      </c>
      <c r="V12" s="680">
        <f t="shared" si="3"/>
        <v>1939016.6309563338</v>
      </c>
      <c r="W12" s="226"/>
      <c r="X12" s="240"/>
      <c r="Y12" s="226"/>
      <c r="Z12" s="240"/>
      <c r="AA12" s="226"/>
      <c r="AB12" s="99">
        <f t="shared" si="4"/>
        <v>44013</v>
      </c>
      <c r="AC12" s="100">
        <f>SUM(V12:$V$17)</f>
        <v>11509001.93857953</v>
      </c>
      <c r="AD12" s="100">
        <f>SUM(U12:$U$17)</f>
        <v>103089.31200000002</v>
      </c>
      <c r="AE12" s="681">
        <f t="shared" si="5"/>
        <v>29.849459267704212</v>
      </c>
      <c r="AF12" s="100">
        <f t="shared" si="8"/>
        <v>3077160.2194796517</v>
      </c>
      <c r="AG12" s="100">
        <f t="shared" si="6"/>
        <v>-8431841.7190998774</v>
      </c>
      <c r="AH12" s="102">
        <v>3.7499999999999999E-2</v>
      </c>
      <c r="AI12" s="682">
        <f>SUM($AH$6:AH12)</f>
        <v>0.19519999999999998</v>
      </c>
      <c r="AJ12" s="100">
        <f t="shared" si="7"/>
        <v>-3865.8492000000006</v>
      </c>
      <c r="AK12" s="100">
        <f t="shared" si="9"/>
        <v>-316194.06446624541</v>
      </c>
      <c r="AL12" s="226"/>
      <c r="AM12" s="240"/>
      <c r="AN12" s="226"/>
      <c r="AO12" s="656"/>
      <c r="AP12" s="657"/>
      <c r="AQ12" s="692">
        <v>43983</v>
      </c>
      <c r="AR12" s="693">
        <v>16.635555555555555</v>
      </c>
      <c r="AS12" s="694">
        <v>720</v>
      </c>
      <c r="AT12" s="693">
        <f t="shared" si="10"/>
        <v>30.038832451597951</v>
      </c>
      <c r="AU12" s="657"/>
      <c r="AV12" s="656"/>
    </row>
    <row r="13" spans="2:48">
      <c r="B13" s="240"/>
      <c r="C13" s="226"/>
      <c r="D13" s="671" t="s">
        <v>300</v>
      </c>
      <c r="E13" s="695" t="s">
        <v>301</v>
      </c>
      <c r="F13" s="232"/>
      <c r="G13" s="240"/>
      <c r="H13" s="226"/>
      <c r="I13" s="240"/>
      <c r="J13" s="240"/>
      <c r="K13" s="240"/>
      <c r="L13" s="240"/>
      <c r="M13" s="240"/>
      <c r="N13" s="240"/>
      <c r="O13" s="226"/>
      <c r="P13" s="655"/>
      <c r="Q13" s="226"/>
      <c r="R13" s="99">
        <v>44044</v>
      </c>
      <c r="S13" s="100">
        <f t="shared" si="1"/>
        <v>31</v>
      </c>
      <c r="T13" s="100">
        <f t="shared" si="2"/>
        <v>744</v>
      </c>
      <c r="U13" s="100">
        <f t="shared" si="0"/>
        <v>17368.308000000001</v>
      </c>
      <c r="V13" s="680">
        <f t="shared" si="3"/>
        <v>1939016.6309563338</v>
      </c>
      <c r="W13" s="226"/>
      <c r="X13" s="240"/>
      <c r="Y13" s="226"/>
      <c r="Z13" s="240"/>
      <c r="AA13" s="226"/>
      <c r="AB13" s="99">
        <f t="shared" si="4"/>
        <v>44044</v>
      </c>
      <c r="AC13" s="100">
        <f>SUM(V13:$V$17)</f>
        <v>9569985.3076231964</v>
      </c>
      <c r="AD13" s="100">
        <f>SUM(U13:$U$17)</f>
        <v>85721.004000000001</v>
      </c>
      <c r="AE13" s="681">
        <f t="shared" si="5"/>
        <v>30.246536893274989</v>
      </c>
      <c r="AF13" s="100">
        <f t="shared" si="8"/>
        <v>2592763.5100145731</v>
      </c>
      <c r="AG13" s="100">
        <f t="shared" si="6"/>
        <v>-6977221.7976086233</v>
      </c>
      <c r="AH13" s="102">
        <v>3.2399999999999998E-2</v>
      </c>
      <c r="AI13" s="682">
        <f>SUM($AH$6:AH13)</f>
        <v>0.22759999999999997</v>
      </c>
      <c r="AJ13" s="100">
        <f t="shared" si="7"/>
        <v>-2777.3605296000001</v>
      </c>
      <c r="AK13" s="100">
        <f t="shared" si="9"/>
        <v>-226061.98624251937</v>
      </c>
      <c r="AL13" s="226"/>
      <c r="AM13" s="240"/>
      <c r="AN13" s="226"/>
      <c r="AO13" s="656"/>
      <c r="AP13" s="657"/>
      <c r="AQ13" s="686">
        <v>44013</v>
      </c>
      <c r="AR13" s="687">
        <v>34.910752688172039</v>
      </c>
      <c r="AS13" s="688">
        <v>744</v>
      </c>
      <c r="AT13" s="687">
        <f t="shared" si="10"/>
        <v>29.849459267704212</v>
      </c>
      <c r="AU13" s="657"/>
      <c r="AV13" s="656"/>
    </row>
    <row r="14" spans="2:48">
      <c r="B14" s="240"/>
      <c r="C14" s="226"/>
      <c r="D14" s="696" t="s">
        <v>302</v>
      </c>
      <c r="E14" s="697" t="s">
        <v>303</v>
      </c>
      <c r="F14" s="232"/>
      <c r="G14" s="240"/>
      <c r="H14" s="226"/>
      <c r="I14" s="226"/>
      <c r="J14" s="226"/>
      <c r="K14" s="226"/>
      <c r="L14" s="226"/>
      <c r="M14" s="226"/>
      <c r="N14" s="226"/>
      <c r="O14" s="226"/>
      <c r="P14" s="655"/>
      <c r="Q14" s="226"/>
      <c r="R14" s="99">
        <v>44075</v>
      </c>
      <c r="S14" s="100">
        <f t="shared" si="1"/>
        <v>30</v>
      </c>
      <c r="T14" s="100">
        <f t="shared" si="2"/>
        <v>720</v>
      </c>
      <c r="U14" s="100">
        <f t="shared" si="0"/>
        <v>16808.04</v>
      </c>
      <c r="V14" s="680">
        <f t="shared" si="3"/>
        <v>1876467.7073770973</v>
      </c>
      <c r="W14" s="226"/>
      <c r="X14" s="240"/>
      <c r="Y14" s="226"/>
      <c r="Z14" s="240"/>
      <c r="AA14" s="226"/>
      <c r="AB14" s="99">
        <f t="shared" si="4"/>
        <v>44075</v>
      </c>
      <c r="AC14" s="100">
        <f>SUM(V14:$V$17)</f>
        <v>7630968.6766668623</v>
      </c>
      <c r="AD14" s="100">
        <f>SUM(U14:$U$17)</f>
        <v>68352.695999999996</v>
      </c>
      <c r="AE14" s="681">
        <f t="shared" si="5"/>
        <v>30.431194427521561</v>
      </c>
      <c r="AF14" s="100">
        <f t="shared" si="8"/>
        <v>2080054.1816212751</v>
      </c>
      <c r="AG14" s="100">
        <f t="shared" si="6"/>
        <v>-5550914.4950455874</v>
      </c>
      <c r="AH14" s="102">
        <v>2.7300000000000001E-2</v>
      </c>
      <c r="AI14" s="682">
        <f>SUM($AH$6:AH14)</f>
        <v>0.25489999999999996</v>
      </c>
      <c r="AJ14" s="100">
        <f t="shared" si="7"/>
        <v>-1866.0286008</v>
      </c>
      <c r="AK14" s="100">
        <f t="shared" si="9"/>
        <v>-151539.96571474455</v>
      </c>
      <c r="AL14" s="226"/>
      <c r="AM14" s="240"/>
      <c r="AN14" s="226"/>
      <c r="AO14" s="656"/>
      <c r="AP14" s="657"/>
      <c r="AQ14" s="686">
        <v>44044</v>
      </c>
      <c r="AR14" s="687">
        <v>42.541935483870972</v>
      </c>
      <c r="AS14" s="688">
        <v>744</v>
      </c>
      <c r="AT14" s="687">
        <f t="shared" si="10"/>
        <v>30.246536893274989</v>
      </c>
      <c r="AU14" s="657"/>
      <c r="AV14" s="656"/>
    </row>
    <row r="15" spans="2:48">
      <c r="B15" s="240"/>
      <c r="C15" s="226"/>
      <c r="D15" s="226"/>
      <c r="E15" s="226"/>
      <c r="F15" s="654"/>
      <c r="G15" s="240"/>
      <c r="H15" s="226"/>
      <c r="I15" s="226"/>
      <c r="J15" s="226"/>
      <c r="K15" s="226"/>
      <c r="L15" s="226"/>
      <c r="M15" s="226"/>
      <c r="N15" s="226"/>
      <c r="O15" s="226"/>
      <c r="P15" s="655"/>
      <c r="Q15" s="226"/>
      <c r="R15" s="90">
        <v>44105</v>
      </c>
      <c r="S15" s="93">
        <f t="shared" si="1"/>
        <v>31</v>
      </c>
      <c r="T15" s="93">
        <f t="shared" si="2"/>
        <v>744</v>
      </c>
      <c r="U15" s="93">
        <f t="shared" si="0"/>
        <v>17368.308000000001</v>
      </c>
      <c r="V15" s="690">
        <f t="shared" si="3"/>
        <v>1939016.6309563338</v>
      </c>
      <c r="W15" s="226"/>
      <c r="X15" s="240"/>
      <c r="Y15" s="226"/>
      <c r="Z15" s="240"/>
      <c r="AA15" s="226"/>
      <c r="AB15" s="90">
        <f t="shared" si="4"/>
        <v>44105</v>
      </c>
      <c r="AC15" s="93">
        <f>SUM(V15:$V$17)</f>
        <v>5754500.9692897648</v>
      </c>
      <c r="AD15" s="93">
        <f>SUM(U15:$U$17)</f>
        <v>51544.656000000003</v>
      </c>
      <c r="AE15" s="679">
        <f t="shared" si="5"/>
        <v>31.025258354462199</v>
      </c>
      <c r="AF15" s="93">
        <f t="shared" si="8"/>
        <v>1599186.2691918802</v>
      </c>
      <c r="AG15" s="93">
        <f t="shared" si="6"/>
        <v>-4155314.7000978845</v>
      </c>
      <c r="AH15" s="103">
        <v>2.63E-2</v>
      </c>
      <c r="AI15" s="691">
        <f>SUM($AH$6:AH15)</f>
        <v>0.28119999999999995</v>
      </c>
      <c r="AJ15" s="93">
        <f t="shared" si="7"/>
        <v>-1355.6244528000002</v>
      </c>
      <c r="AK15" s="93">
        <f t="shared" si="9"/>
        <v>-109284.77661257437</v>
      </c>
      <c r="AL15" s="226"/>
      <c r="AM15" s="240"/>
      <c r="AN15" s="226"/>
      <c r="AO15" s="656"/>
      <c r="AP15" s="657"/>
      <c r="AQ15" s="686">
        <v>44075</v>
      </c>
      <c r="AR15" s="687">
        <v>33.62777777777778</v>
      </c>
      <c r="AS15" s="688">
        <v>720</v>
      </c>
      <c r="AT15" s="687">
        <f t="shared" si="10"/>
        <v>30.431194427521561</v>
      </c>
      <c r="AU15" s="657"/>
      <c r="AV15" s="656"/>
    </row>
    <row r="16" spans="2:48">
      <c r="B16" s="240"/>
      <c r="C16" s="226"/>
      <c r="D16" s="88" t="s">
        <v>304</v>
      </c>
      <c r="E16" s="238"/>
      <c r="F16" s="48"/>
      <c r="G16" s="240"/>
      <c r="H16" s="226"/>
      <c r="I16" s="226"/>
      <c r="J16" s="226"/>
      <c r="K16" s="226"/>
      <c r="L16" s="226"/>
      <c r="M16" s="226"/>
      <c r="N16" s="226"/>
      <c r="O16" s="226"/>
      <c r="P16" s="655"/>
      <c r="Q16" s="226"/>
      <c r="R16" s="90">
        <v>44136</v>
      </c>
      <c r="S16" s="93">
        <f t="shared" si="1"/>
        <v>30</v>
      </c>
      <c r="T16" s="93">
        <f t="shared" si="2"/>
        <v>720</v>
      </c>
      <c r="U16" s="93">
        <f t="shared" si="0"/>
        <v>16808.04</v>
      </c>
      <c r="V16" s="690">
        <f t="shared" si="3"/>
        <v>1876467.7073770973</v>
      </c>
      <c r="W16" s="226"/>
      <c r="X16" s="240"/>
      <c r="Y16" s="226"/>
      <c r="Z16" s="240"/>
      <c r="AA16" s="226"/>
      <c r="AB16" s="90">
        <f t="shared" si="4"/>
        <v>44136</v>
      </c>
      <c r="AC16" s="93">
        <f>SUM(V16:$V$17)</f>
        <v>3815484.3383334312</v>
      </c>
      <c r="AD16" s="93">
        <f>SUM(U16:$U$17)</f>
        <v>34176.347999999998</v>
      </c>
      <c r="AE16" s="679">
        <f t="shared" si="5"/>
        <v>31.056125934370879</v>
      </c>
      <c r="AF16" s="93">
        <f t="shared" si="8"/>
        <v>1061384.9674648843</v>
      </c>
      <c r="AG16" s="93">
        <f t="shared" si="6"/>
        <v>-2754099.3708685469</v>
      </c>
      <c r="AH16" s="103">
        <v>2.6200000000000001E-2</v>
      </c>
      <c r="AI16" s="691">
        <f>SUM($AH$6:AH16)</f>
        <v>0.30739999999999995</v>
      </c>
      <c r="AJ16" s="93">
        <f t="shared" si="7"/>
        <v>-895.42031759999998</v>
      </c>
      <c r="AK16" s="93">
        <f t="shared" si="9"/>
        <v>-72157.403516755934</v>
      </c>
      <c r="AL16" s="226"/>
      <c r="AM16" s="240"/>
      <c r="AN16" s="226"/>
      <c r="AO16" s="656"/>
      <c r="AP16" s="657"/>
      <c r="AQ16" s="692">
        <v>44105</v>
      </c>
      <c r="AR16" s="693">
        <v>28.369354838709675</v>
      </c>
      <c r="AS16" s="694">
        <v>744</v>
      </c>
      <c r="AT16" s="693">
        <f t="shared" si="10"/>
        <v>31.025258354462199</v>
      </c>
      <c r="AU16" s="657"/>
      <c r="AV16" s="656"/>
    </row>
    <row r="17" spans="2:48">
      <c r="B17" s="240"/>
      <c r="C17" s="226"/>
      <c r="D17" s="666" t="s">
        <v>265</v>
      </c>
      <c r="E17" s="168" t="s">
        <v>305</v>
      </c>
      <c r="F17" s="48"/>
      <c r="G17" s="240"/>
      <c r="H17" s="226"/>
      <c r="I17" s="226"/>
      <c r="J17" s="226"/>
      <c r="K17" s="226"/>
      <c r="L17" s="226"/>
      <c r="M17" s="226"/>
      <c r="N17" s="226"/>
      <c r="O17" s="226"/>
      <c r="P17" s="655"/>
      <c r="Q17" s="226"/>
      <c r="R17" s="91">
        <v>44166</v>
      </c>
      <c r="S17" s="95">
        <f>Q18-R17</f>
        <v>31</v>
      </c>
      <c r="T17" s="95">
        <f t="shared" si="2"/>
        <v>744</v>
      </c>
      <c r="U17" s="95">
        <f t="shared" si="0"/>
        <v>17368.308000000001</v>
      </c>
      <c r="V17" s="698">
        <f t="shared" si="3"/>
        <v>1939016.6309563338</v>
      </c>
      <c r="W17" s="226"/>
      <c r="X17" s="240"/>
      <c r="Y17" s="226"/>
      <c r="Z17" s="240"/>
      <c r="AA17" s="226"/>
      <c r="AB17" s="91">
        <f t="shared" si="4"/>
        <v>44166</v>
      </c>
      <c r="AC17" s="95">
        <f>SUM(V17:$V$17)</f>
        <v>1939016.6309563338</v>
      </c>
      <c r="AD17" s="95">
        <f>SUM(U17:$U$17)</f>
        <v>17368.308000000001</v>
      </c>
      <c r="AE17" s="699">
        <f t="shared" si="5"/>
        <v>31.165233070101468</v>
      </c>
      <c r="AF17" s="95">
        <f t="shared" si="8"/>
        <v>541287.36685330793</v>
      </c>
      <c r="AG17" s="95">
        <f t="shared" si="6"/>
        <v>-1397729.2641030259</v>
      </c>
      <c r="AH17" s="104">
        <v>2.5399999999999999E-2</v>
      </c>
      <c r="AI17" s="700">
        <f>SUM($AH$6:AH17)</f>
        <v>0.33279999999999993</v>
      </c>
      <c r="AJ17" s="95">
        <f t="shared" si="7"/>
        <v>-441.15502320000002</v>
      </c>
      <c r="AK17" s="95">
        <f t="shared" si="9"/>
        <v>-35502.323308216859</v>
      </c>
      <c r="AL17" s="226"/>
      <c r="AM17" s="240"/>
      <c r="AN17" s="226"/>
      <c r="AO17" s="656"/>
      <c r="AP17" s="657"/>
      <c r="AQ17" s="686">
        <v>44136</v>
      </c>
      <c r="AR17" s="693">
        <v>29.572986151515099</v>
      </c>
      <c r="AS17" s="694">
        <v>721</v>
      </c>
      <c r="AT17" s="693">
        <f t="shared" si="10"/>
        <v>31.056125934370879</v>
      </c>
      <c r="AU17" s="657"/>
      <c r="AV17" s="656"/>
    </row>
    <row r="18" spans="2:48">
      <c r="B18" s="240"/>
      <c r="C18" s="226"/>
      <c r="D18" s="671" t="s">
        <v>280</v>
      </c>
      <c r="E18" s="165" t="s">
        <v>306</v>
      </c>
      <c r="F18" s="48"/>
      <c r="G18" s="240"/>
      <c r="H18" s="226"/>
      <c r="I18" s="226"/>
      <c r="J18" s="226"/>
      <c r="K18" s="226"/>
      <c r="L18" s="226"/>
      <c r="M18" s="226"/>
      <c r="N18" s="226"/>
      <c r="O18" s="226"/>
      <c r="P18" s="655"/>
      <c r="Q18" s="96">
        <v>44197</v>
      </c>
      <c r="R18" s="226" t="s">
        <v>307</v>
      </c>
      <c r="S18" s="596">
        <f>SUM(S6:S17)</f>
        <v>366</v>
      </c>
      <c r="T18" s="596">
        <f>SUM(T6:T17)</f>
        <v>8784</v>
      </c>
      <c r="U18" s="701">
        <f>SUM(U6:U17)</f>
        <v>205058.08800000002</v>
      </c>
      <c r="V18" s="702">
        <f>SUM(V6:V17)</f>
        <v>22892906.030000586</v>
      </c>
      <c r="W18" s="226"/>
      <c r="X18" s="240"/>
      <c r="Y18" s="226"/>
      <c r="Z18" s="647"/>
      <c r="AA18" s="232"/>
      <c r="AB18" s="226"/>
      <c r="AC18" s="703"/>
      <c r="AD18" s="703"/>
      <c r="AE18" s="226"/>
      <c r="AF18" s="226"/>
      <c r="AG18" s="704" t="s">
        <v>307</v>
      </c>
      <c r="AH18" s="705">
        <f>SUM(AH6:AH17)</f>
        <v>0.33279999999999993</v>
      </c>
      <c r="AI18" s="706"/>
      <c r="AJ18" s="172">
        <f>SUM(AJ6:AJ17)</f>
        <v>-34905.648855600004</v>
      </c>
      <c r="AK18" s="172">
        <f>SUM(AK6:AK17)</f>
        <v>-2864770.8410285008</v>
      </c>
      <c r="AL18" s="232"/>
      <c r="AM18" s="647"/>
      <c r="AN18" s="226"/>
      <c r="AO18" s="656"/>
      <c r="AP18" s="657"/>
      <c r="AQ18" s="692">
        <v>44166</v>
      </c>
      <c r="AR18" s="693">
        <v>40.365591397849464</v>
      </c>
      <c r="AS18" s="694">
        <v>744</v>
      </c>
      <c r="AT18" s="693">
        <f>SUMPRODUCT(AR18:AR29,AS18:AS29)/SUM(AS18:AS29)</f>
        <v>31.165233070101468</v>
      </c>
      <c r="AU18" s="657"/>
      <c r="AV18" s="656"/>
    </row>
    <row r="19" spans="2:48">
      <c r="B19" s="240"/>
      <c r="C19" s="226"/>
      <c r="D19" s="671" t="s">
        <v>283</v>
      </c>
      <c r="E19" s="144" t="s">
        <v>308</v>
      </c>
      <c r="F19" s="48"/>
      <c r="G19" s="240"/>
      <c r="H19" s="707"/>
      <c r="I19" s="707"/>
      <c r="J19" s="707"/>
      <c r="K19" s="707"/>
      <c r="L19" s="707"/>
      <c r="M19" s="707"/>
      <c r="N19" s="707"/>
      <c r="O19" s="707"/>
      <c r="P19" s="655"/>
      <c r="Q19" s="226"/>
      <c r="R19" s="226"/>
      <c r="S19" s="226"/>
      <c r="T19" s="226"/>
      <c r="U19" s="226"/>
      <c r="V19" s="226"/>
      <c r="W19" s="226"/>
      <c r="X19" s="240"/>
      <c r="Y19" s="226"/>
      <c r="Z19" s="647"/>
      <c r="AA19" s="232"/>
      <c r="AB19" s="171" t="s">
        <v>309</v>
      </c>
      <c r="AC19" s="49"/>
      <c r="AD19" s="49"/>
      <c r="AE19" s="708"/>
      <c r="AF19" s="709"/>
      <c r="AG19" s="709"/>
      <c r="AH19" s="50"/>
      <c r="AI19" s="710"/>
      <c r="AJ19" s="710"/>
      <c r="AK19" s="709"/>
      <c r="AL19" s="232"/>
      <c r="AM19" s="647"/>
      <c r="AN19" s="226"/>
      <c r="AO19" s="656"/>
      <c r="AP19" s="657"/>
      <c r="AQ19" s="686">
        <v>44197</v>
      </c>
      <c r="AR19" s="687">
        <v>37.235483870967741</v>
      </c>
      <c r="AS19" s="688">
        <v>744</v>
      </c>
      <c r="AT19" s="687"/>
      <c r="AU19" s="657"/>
      <c r="AV19" s="656"/>
    </row>
    <row r="20" spans="2:48">
      <c r="B20" s="240"/>
      <c r="C20" s="226"/>
      <c r="D20" s="696" t="s">
        <v>286</v>
      </c>
      <c r="E20" s="146" t="s">
        <v>310</v>
      </c>
      <c r="F20" s="48"/>
      <c r="G20" s="240"/>
      <c r="H20" s="707"/>
      <c r="I20" s="707"/>
      <c r="J20" s="707"/>
      <c r="K20" s="707"/>
      <c r="L20" s="707"/>
      <c r="M20" s="707"/>
      <c r="N20" s="707"/>
      <c r="O20" s="707"/>
      <c r="P20" s="240"/>
      <c r="Q20" s="240"/>
      <c r="R20" s="240"/>
      <c r="S20" s="240"/>
      <c r="T20" s="240"/>
      <c r="U20" s="240"/>
      <c r="V20" s="240"/>
      <c r="W20" s="240"/>
      <c r="X20" s="240"/>
      <c r="Y20" s="226"/>
      <c r="Z20" s="647"/>
      <c r="AA20" s="647"/>
      <c r="AB20" s="711"/>
      <c r="AC20" s="59"/>
      <c r="AD20" s="59"/>
      <c r="AE20" s="712"/>
      <c r="AF20" s="713"/>
      <c r="AG20" s="713"/>
      <c r="AH20" s="58"/>
      <c r="AI20" s="714"/>
      <c r="AJ20" s="714"/>
      <c r="AK20" s="713"/>
      <c r="AL20" s="647"/>
      <c r="AM20" s="647"/>
      <c r="AN20" s="226"/>
      <c r="AO20" s="656"/>
      <c r="AP20" s="657"/>
      <c r="AQ20" s="692">
        <v>44228</v>
      </c>
      <c r="AR20" s="687">
        <v>36.599999999999994</v>
      </c>
      <c r="AS20" s="688">
        <v>672</v>
      </c>
      <c r="AT20" s="687"/>
      <c r="AU20" s="657"/>
      <c r="AV20" s="656"/>
    </row>
    <row r="21" spans="2:48">
      <c r="B21" s="240"/>
      <c r="C21" s="226"/>
      <c r="D21" s="226"/>
      <c r="E21" s="226"/>
      <c r="F21" s="226"/>
      <c r="G21" s="240"/>
      <c r="H21" s="707"/>
      <c r="I21" s="707"/>
      <c r="J21" s="707"/>
      <c r="K21" s="707"/>
      <c r="L21" s="707"/>
      <c r="M21" s="707"/>
      <c r="N21" s="707"/>
      <c r="O21" s="707"/>
      <c r="P21" s="226"/>
      <c r="Q21" s="226"/>
      <c r="R21" s="226"/>
      <c r="S21" s="226"/>
      <c r="T21" s="226"/>
      <c r="U21" s="226"/>
      <c r="V21" s="226"/>
      <c r="W21" s="226"/>
      <c r="X21" s="226"/>
      <c r="Y21" s="226"/>
      <c r="Z21" s="226"/>
      <c r="AA21" s="226"/>
      <c r="AB21" s="226"/>
      <c r="AC21" s="226"/>
      <c r="AD21" s="226"/>
      <c r="AE21" s="226"/>
      <c r="AF21" s="226"/>
      <c r="AG21" s="226"/>
      <c r="AH21" s="226"/>
      <c r="AI21" s="226"/>
      <c r="AJ21" s="226"/>
      <c r="AK21" s="226"/>
      <c r="AL21" s="226"/>
      <c r="AM21" s="226"/>
      <c r="AN21" s="226"/>
      <c r="AO21" s="656"/>
      <c r="AP21" s="657"/>
      <c r="AQ21" s="686">
        <v>44256</v>
      </c>
      <c r="AR21" s="687">
        <v>28.100739247315801</v>
      </c>
      <c r="AS21" s="688">
        <v>743</v>
      </c>
      <c r="AT21" s="687"/>
      <c r="AU21" s="657"/>
      <c r="AV21" s="656"/>
    </row>
    <row r="22" spans="2:48">
      <c r="B22" s="240"/>
      <c r="C22" s="240"/>
      <c r="D22" s="240"/>
      <c r="E22" s="240"/>
      <c r="F22" s="240"/>
      <c r="G22" s="240"/>
      <c r="H22" s="707"/>
      <c r="I22" s="707"/>
      <c r="J22" s="707"/>
      <c r="K22" s="707"/>
      <c r="L22" s="707"/>
      <c r="M22" s="707"/>
      <c r="N22" s="707"/>
      <c r="O22" s="707"/>
      <c r="P22" s="226"/>
      <c r="Q22" s="226"/>
      <c r="R22" s="226"/>
      <c r="S22" s="226"/>
      <c r="T22" s="226"/>
      <c r="U22" s="226"/>
      <c r="V22" s="226"/>
      <c r="W22" s="226"/>
      <c r="X22" s="226"/>
      <c r="Y22" s="226"/>
      <c r="Z22" s="226"/>
      <c r="AA22" s="226"/>
      <c r="AB22" s="226"/>
      <c r="AC22" s="226"/>
      <c r="AD22" s="226"/>
      <c r="AE22" s="226"/>
      <c r="AF22" s="226"/>
      <c r="AG22" s="226"/>
      <c r="AH22" s="226"/>
      <c r="AI22" s="226"/>
      <c r="AJ22" s="226"/>
      <c r="AK22" s="226"/>
      <c r="AL22" s="226"/>
      <c r="AM22" s="226"/>
      <c r="AN22" s="226"/>
      <c r="AO22" s="656"/>
      <c r="AP22" s="657"/>
      <c r="AQ22" s="692">
        <v>44287</v>
      </c>
      <c r="AR22" s="693">
        <v>17.652222222222221</v>
      </c>
      <c r="AS22" s="694">
        <v>720</v>
      </c>
      <c r="AT22" s="693"/>
      <c r="AU22" s="657"/>
      <c r="AV22" s="656"/>
    </row>
    <row r="23" spans="2:48">
      <c r="B23" s="226"/>
      <c r="C23" s="226"/>
      <c r="D23" s="226"/>
      <c r="E23" s="226"/>
      <c r="F23" s="226"/>
      <c r="G23" s="226"/>
      <c r="H23" s="707"/>
      <c r="I23" s="707"/>
      <c r="J23" s="707"/>
      <c r="K23" s="707"/>
      <c r="L23" s="707"/>
      <c r="M23" s="707"/>
      <c r="N23" s="707"/>
      <c r="O23" s="707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26"/>
      <c r="AL23" s="226"/>
      <c r="AM23" s="226"/>
      <c r="AN23" s="226"/>
      <c r="AO23" s="656"/>
      <c r="AP23" s="657"/>
      <c r="AQ23" s="686">
        <v>44317</v>
      </c>
      <c r="AR23" s="693">
        <v>14.755376344086022</v>
      </c>
      <c r="AS23" s="694">
        <v>744</v>
      </c>
      <c r="AT23" s="693"/>
      <c r="AU23" s="657"/>
      <c r="AV23" s="656"/>
    </row>
    <row r="24" spans="2:48">
      <c r="B24" s="226"/>
      <c r="C24" s="226"/>
      <c r="D24" s="226"/>
      <c r="E24" s="226"/>
      <c r="F24" s="226"/>
      <c r="G24" s="226"/>
      <c r="H24" s="707"/>
      <c r="I24" s="707"/>
      <c r="J24" s="707"/>
      <c r="K24" s="707"/>
      <c r="L24" s="707"/>
      <c r="M24" s="707"/>
      <c r="N24" s="707"/>
      <c r="O24" s="707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656"/>
      <c r="AP24" s="657"/>
      <c r="AQ24" s="692">
        <v>44348</v>
      </c>
      <c r="AR24" s="693">
        <v>14.3315151515151</v>
      </c>
      <c r="AS24" s="694">
        <v>720</v>
      </c>
      <c r="AT24" s="693"/>
      <c r="AU24" s="657"/>
      <c r="AV24" s="656"/>
    </row>
    <row r="25" spans="2:48">
      <c r="B25" s="226"/>
      <c r="C25" s="226"/>
      <c r="D25" s="226"/>
      <c r="E25" s="226"/>
      <c r="F25" s="226"/>
      <c r="G25" s="226"/>
      <c r="H25" s="707"/>
      <c r="I25" s="707"/>
      <c r="J25" s="707"/>
      <c r="K25" s="707"/>
      <c r="L25" s="707"/>
      <c r="M25" s="707"/>
      <c r="N25" s="707"/>
      <c r="O25" s="707"/>
      <c r="P25" s="226"/>
      <c r="Q25" s="226"/>
      <c r="R25" s="226"/>
      <c r="S25" s="226"/>
      <c r="T25" s="226"/>
      <c r="U25" s="226"/>
      <c r="V25" s="226"/>
      <c r="W25" s="226"/>
      <c r="X25" s="226"/>
      <c r="Y25" s="226"/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656"/>
      <c r="AP25" s="657"/>
      <c r="AQ25" s="686">
        <v>44378</v>
      </c>
      <c r="AR25" s="687">
        <v>39.586021505376344</v>
      </c>
      <c r="AS25" s="688">
        <v>744</v>
      </c>
      <c r="AT25" s="687"/>
      <c r="AU25" s="657"/>
      <c r="AV25" s="656"/>
    </row>
    <row r="26" spans="2:48">
      <c r="B26" s="226"/>
      <c r="C26" s="226"/>
      <c r="D26" s="226"/>
      <c r="E26" s="226"/>
      <c r="F26" s="226"/>
      <c r="G26" s="226"/>
      <c r="H26" s="707"/>
      <c r="I26" s="707"/>
      <c r="J26" s="707"/>
      <c r="K26" s="707"/>
      <c r="L26" s="707"/>
      <c r="M26" s="707"/>
      <c r="N26" s="707"/>
      <c r="O26" s="707"/>
      <c r="P26" s="226"/>
      <c r="Q26" s="226"/>
      <c r="R26" s="226"/>
      <c r="S26" s="226"/>
      <c r="T26" s="226"/>
      <c r="U26" s="226"/>
      <c r="V26" s="226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656"/>
      <c r="AP26" s="657"/>
      <c r="AQ26" s="686">
        <v>44409</v>
      </c>
      <c r="AR26" s="687">
        <v>44.716129032258067</v>
      </c>
      <c r="AS26" s="688">
        <v>744</v>
      </c>
      <c r="AT26" s="687"/>
      <c r="AU26" s="657"/>
      <c r="AV26" s="656"/>
    </row>
    <row r="27" spans="2:48">
      <c r="B27" s="226"/>
      <c r="C27" s="226"/>
      <c r="D27" s="226"/>
      <c r="E27" s="226"/>
      <c r="F27" s="226"/>
      <c r="G27" s="226"/>
      <c r="H27" s="707"/>
      <c r="I27" s="707"/>
      <c r="J27" s="707"/>
      <c r="K27" s="707"/>
      <c r="L27" s="707"/>
      <c r="M27" s="707"/>
      <c r="N27" s="707"/>
      <c r="O27" s="707"/>
      <c r="P27" s="226"/>
      <c r="Q27" s="226"/>
      <c r="R27" s="226"/>
      <c r="S27" s="226"/>
      <c r="T27" s="226"/>
      <c r="U27" s="226"/>
      <c r="V27" s="226"/>
      <c r="W27" s="226"/>
      <c r="X27" s="226"/>
      <c r="Y27" s="226"/>
      <c r="Z27" s="226"/>
      <c r="AA27" s="226"/>
      <c r="AB27" s="226"/>
      <c r="AC27" s="226"/>
      <c r="AD27" s="226"/>
      <c r="AE27" s="226"/>
      <c r="AF27" s="226"/>
      <c r="AG27" s="226"/>
      <c r="AH27" s="226"/>
      <c r="AI27" s="226"/>
      <c r="AJ27" s="226"/>
      <c r="AK27" s="226"/>
      <c r="AL27" s="226"/>
      <c r="AM27" s="226"/>
      <c r="AN27" s="226"/>
      <c r="AO27" s="656"/>
      <c r="AP27" s="657"/>
      <c r="AQ27" s="692">
        <v>44440</v>
      </c>
      <c r="AR27" s="687">
        <v>40.855555555555554</v>
      </c>
      <c r="AS27" s="688">
        <v>720</v>
      </c>
      <c r="AT27" s="687"/>
      <c r="AU27" s="657"/>
      <c r="AV27" s="656"/>
    </row>
    <row r="28" spans="2:48">
      <c r="B28" s="226"/>
      <c r="C28" s="226"/>
      <c r="D28" s="226"/>
      <c r="E28" s="226"/>
      <c r="F28" s="226"/>
      <c r="G28" s="226"/>
      <c r="H28" s="707"/>
      <c r="I28" s="707"/>
      <c r="J28" s="707"/>
      <c r="K28" s="707"/>
      <c r="L28" s="707"/>
      <c r="M28" s="707"/>
      <c r="N28" s="707"/>
      <c r="O28" s="707"/>
      <c r="P28" s="226"/>
      <c r="Q28" s="226"/>
      <c r="R28" s="226"/>
      <c r="S28" s="226"/>
      <c r="T28" s="226"/>
      <c r="U28" s="226"/>
      <c r="V28" s="226"/>
      <c r="W28" s="226"/>
      <c r="X28" s="226"/>
      <c r="Y28" s="226"/>
      <c r="Z28" s="226"/>
      <c r="AA28" s="226"/>
      <c r="AB28" s="226"/>
      <c r="AC28" s="226"/>
      <c r="AD28" s="226"/>
      <c r="AE28" s="226"/>
      <c r="AF28" s="226"/>
      <c r="AG28" s="226"/>
      <c r="AH28" s="226"/>
      <c r="AI28" s="226"/>
      <c r="AJ28" s="226"/>
      <c r="AK28" s="226"/>
      <c r="AL28" s="226"/>
      <c r="AM28" s="226"/>
      <c r="AN28" s="226"/>
      <c r="AO28" s="656"/>
      <c r="AP28" s="657"/>
      <c r="AQ28" s="686">
        <v>44470</v>
      </c>
      <c r="AR28" s="693">
        <v>28.732795698924733</v>
      </c>
      <c r="AS28" s="694">
        <v>744</v>
      </c>
      <c r="AT28" s="693"/>
      <c r="AU28" s="657"/>
      <c r="AV28" s="656"/>
    </row>
    <row r="29" spans="2:48">
      <c r="B29" s="226"/>
      <c r="C29" s="226"/>
      <c r="D29" s="226"/>
      <c r="E29" s="226"/>
      <c r="F29" s="226"/>
      <c r="G29" s="226"/>
      <c r="H29" s="707"/>
      <c r="I29" s="707"/>
      <c r="J29" s="707"/>
      <c r="K29" s="707"/>
      <c r="L29" s="707"/>
      <c r="M29" s="707"/>
      <c r="N29" s="707"/>
      <c r="O29" s="707"/>
      <c r="P29" s="226"/>
      <c r="Q29" s="226"/>
      <c r="R29" s="226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  <c r="AH29" s="226"/>
      <c r="AI29" s="226"/>
      <c r="AJ29" s="226"/>
      <c r="AK29" s="226"/>
      <c r="AL29" s="226"/>
      <c r="AM29" s="226"/>
      <c r="AN29" s="226"/>
      <c r="AO29" s="656"/>
      <c r="AP29" s="657"/>
      <c r="AQ29" s="692">
        <v>44501</v>
      </c>
      <c r="AR29" s="693">
        <v>30.898615151515099</v>
      </c>
      <c r="AS29" s="694">
        <v>721</v>
      </c>
      <c r="AT29" s="693"/>
      <c r="AU29" s="657"/>
      <c r="AV29" s="656"/>
    </row>
    <row r="30" spans="2:48">
      <c r="B30" s="226"/>
      <c r="C30" s="226"/>
      <c r="D30" s="226"/>
      <c r="E30" s="226"/>
      <c r="F30" s="226"/>
      <c r="G30" s="226"/>
      <c r="H30" s="707"/>
      <c r="I30" s="707"/>
      <c r="J30" s="707"/>
      <c r="K30" s="707"/>
      <c r="L30" s="707"/>
      <c r="M30" s="707"/>
      <c r="N30" s="707"/>
      <c r="O30" s="707"/>
      <c r="P30" s="226"/>
      <c r="Q30" s="226"/>
      <c r="R30" s="226"/>
      <c r="S30" s="226"/>
      <c r="T30" s="226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6"/>
      <c r="AF30" s="226"/>
      <c r="AG30" s="226"/>
      <c r="AH30" s="226"/>
      <c r="AI30" s="226"/>
      <c r="AJ30" s="226"/>
      <c r="AK30" s="226"/>
      <c r="AL30" s="226"/>
      <c r="AM30" s="226"/>
      <c r="AN30" s="226"/>
      <c r="AO30" s="656"/>
      <c r="AP30" s="657"/>
      <c r="AQ30" s="715">
        <v>44531</v>
      </c>
      <c r="AR30" s="716">
        <v>37.13225806451613</v>
      </c>
      <c r="AS30" s="717">
        <v>744</v>
      </c>
      <c r="AT30" s="716"/>
      <c r="AU30" s="657"/>
      <c r="AV30" s="656"/>
    </row>
    <row r="31" spans="2:48">
      <c r="B31" s="226"/>
      <c r="C31" s="226"/>
      <c r="D31" s="226"/>
      <c r="E31" s="226"/>
      <c r="F31" s="226"/>
      <c r="G31" s="226"/>
      <c r="H31" s="707"/>
      <c r="I31" s="707"/>
      <c r="J31" s="707"/>
      <c r="K31" s="707"/>
      <c r="L31" s="707"/>
      <c r="M31" s="707"/>
      <c r="N31" s="707"/>
      <c r="O31" s="707"/>
      <c r="P31" s="226"/>
      <c r="Q31" s="226"/>
      <c r="R31" s="226"/>
      <c r="S31" s="226"/>
      <c r="T31" s="226"/>
      <c r="U31" s="226"/>
      <c r="V31" s="226"/>
      <c r="W31" s="226"/>
      <c r="X31" s="226"/>
      <c r="Y31" s="226"/>
      <c r="Z31" s="226"/>
      <c r="AA31" s="226"/>
      <c r="AB31" s="226"/>
      <c r="AC31" s="226"/>
      <c r="AD31" s="226"/>
      <c r="AE31" s="226"/>
      <c r="AF31" s="226"/>
      <c r="AG31" s="226"/>
      <c r="AH31" s="226"/>
      <c r="AI31" s="226"/>
      <c r="AJ31" s="226"/>
      <c r="AK31" s="226"/>
      <c r="AL31" s="226"/>
      <c r="AM31" s="226"/>
      <c r="AN31" s="226"/>
      <c r="AO31" s="656"/>
      <c r="AP31" s="657"/>
      <c r="AQ31" s="657"/>
      <c r="AR31" s="657"/>
      <c r="AS31" s="657"/>
      <c r="AT31" s="657"/>
      <c r="AU31" s="657"/>
      <c r="AV31" s="656"/>
    </row>
    <row r="32" spans="2:48">
      <c r="B32" s="226"/>
      <c r="C32" s="226"/>
      <c r="D32" s="226"/>
      <c r="E32" s="226"/>
      <c r="F32" s="226"/>
      <c r="G32" s="226"/>
      <c r="H32" s="707"/>
      <c r="I32" s="707"/>
      <c r="J32" s="707"/>
      <c r="K32" s="707"/>
      <c r="L32" s="707"/>
      <c r="M32" s="707"/>
      <c r="N32" s="707"/>
      <c r="O32" s="707"/>
      <c r="P32" s="226"/>
      <c r="Q32" s="226"/>
      <c r="R32" s="226"/>
      <c r="S32" s="226"/>
      <c r="T32" s="226"/>
      <c r="U32" s="226"/>
      <c r="V32" s="226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26"/>
      <c r="AJ32" s="226"/>
      <c r="AK32" s="226"/>
      <c r="AL32" s="226"/>
      <c r="AM32" s="226"/>
      <c r="AN32" s="226"/>
      <c r="AO32" s="656"/>
      <c r="AP32" s="656"/>
      <c r="AQ32" s="656"/>
      <c r="AR32" s="656"/>
      <c r="AS32" s="656"/>
      <c r="AT32" s="656"/>
      <c r="AU32" s="656"/>
      <c r="AV32" s="656"/>
    </row>
    <row r="33" spans="8:15">
      <c r="H33" s="707"/>
      <c r="I33" s="707"/>
      <c r="J33" s="707"/>
      <c r="K33" s="707"/>
      <c r="L33" s="707"/>
      <c r="M33" s="707"/>
      <c r="N33" s="707"/>
      <c r="O33" s="707"/>
    </row>
    <row r="34" spans="8:15">
      <c r="H34" s="707"/>
      <c r="I34" s="707"/>
      <c r="J34" s="707"/>
      <c r="K34" s="707"/>
      <c r="L34" s="707"/>
      <c r="M34" s="707"/>
      <c r="N34" s="707"/>
      <c r="O34" s="707"/>
    </row>
    <row r="35" spans="8:15">
      <c r="H35" s="707"/>
      <c r="I35" s="707"/>
      <c r="J35" s="707"/>
      <c r="K35" s="707"/>
      <c r="L35" s="707"/>
      <c r="M35" s="707"/>
      <c r="N35" s="707"/>
      <c r="O35" s="707"/>
    </row>
    <row r="36" spans="8:15">
      <c r="H36" s="707"/>
      <c r="I36" s="707"/>
      <c r="J36" s="707"/>
      <c r="K36" s="707"/>
      <c r="L36" s="707"/>
      <c r="M36" s="707"/>
      <c r="N36" s="707"/>
      <c r="O36" s="707"/>
    </row>
    <row r="37" spans="8:15">
      <c r="H37" s="707"/>
      <c r="I37" s="707"/>
      <c r="J37" s="707"/>
      <c r="K37" s="707"/>
      <c r="L37" s="707"/>
      <c r="M37" s="707"/>
      <c r="N37" s="707"/>
      <c r="O37" s="707"/>
    </row>
    <row r="38" spans="8:15">
      <c r="H38" s="707"/>
      <c r="I38" s="707"/>
      <c r="J38" s="707"/>
      <c r="K38" s="707"/>
      <c r="L38" s="707"/>
      <c r="M38" s="707"/>
      <c r="N38" s="707"/>
      <c r="O38" s="707"/>
    </row>
    <row r="39" spans="8:15">
      <c r="H39" s="707"/>
      <c r="I39" s="707"/>
      <c r="J39" s="707"/>
      <c r="K39" s="707"/>
      <c r="L39" s="707"/>
      <c r="M39" s="707"/>
      <c r="N39" s="707"/>
      <c r="O39" s="707"/>
    </row>
    <row r="40" spans="8:15">
      <c r="H40" s="707"/>
      <c r="I40" s="707"/>
      <c r="J40" s="707"/>
      <c r="K40" s="707"/>
      <c r="L40" s="707"/>
      <c r="M40" s="707"/>
      <c r="N40" s="707"/>
      <c r="O40" s="707"/>
    </row>
    <row r="41" spans="8:15">
      <c r="H41" s="707"/>
      <c r="I41" s="707"/>
      <c r="J41" s="707"/>
      <c r="K41" s="707"/>
      <c r="L41" s="707"/>
      <c r="M41" s="707"/>
      <c r="N41" s="707"/>
      <c r="O41" s="707"/>
    </row>
    <row r="42" spans="8:15">
      <c r="H42" s="707"/>
      <c r="I42" s="226"/>
      <c r="J42" s="226"/>
      <c r="K42" s="226"/>
      <c r="L42" s="226"/>
      <c r="M42" s="226"/>
      <c r="N42" s="226"/>
      <c r="O42" s="707"/>
    </row>
    <row r="43" spans="8:15">
      <c r="H43" s="707"/>
      <c r="I43" s="226"/>
      <c r="J43" s="226"/>
      <c r="K43" s="226"/>
      <c r="L43" s="226"/>
      <c r="M43" s="226"/>
      <c r="N43" s="226"/>
      <c r="O43" s="707"/>
    </row>
    <row r="44" spans="8:15">
      <c r="H44" s="707"/>
      <c r="I44" s="226"/>
      <c r="J44" s="226"/>
      <c r="K44" s="226"/>
      <c r="L44" s="226"/>
      <c r="M44" s="226"/>
      <c r="N44" s="226"/>
      <c r="O44" s="707"/>
    </row>
    <row r="45" spans="8:15">
      <c r="H45" s="707"/>
      <c r="I45" s="226"/>
      <c r="J45" s="226"/>
      <c r="K45" s="226"/>
      <c r="L45" s="226"/>
      <c r="M45" s="226"/>
      <c r="N45" s="226"/>
      <c r="O45" s="707"/>
    </row>
    <row r="46" spans="8:15">
      <c r="H46" s="707"/>
      <c r="I46" s="707"/>
      <c r="J46" s="707"/>
      <c r="K46" s="707"/>
      <c r="L46" s="707"/>
      <c r="M46" s="707"/>
      <c r="N46" s="707"/>
      <c r="O46" s="707"/>
    </row>
    <row r="47" spans="8:15">
      <c r="H47" s="707"/>
      <c r="I47" s="707"/>
      <c r="J47" s="707"/>
      <c r="K47" s="707"/>
      <c r="L47" s="707"/>
      <c r="M47" s="707"/>
      <c r="N47" s="707"/>
      <c r="O47" s="707"/>
    </row>
    <row r="48" spans="8:15">
      <c r="H48" s="707"/>
      <c r="I48" s="707"/>
      <c r="J48" s="707"/>
      <c r="K48" s="707"/>
      <c r="L48" s="707"/>
      <c r="M48" s="707"/>
      <c r="N48" s="707"/>
      <c r="O48" s="707"/>
    </row>
    <row r="49" spans="8:15">
      <c r="H49" s="707"/>
      <c r="I49" s="226"/>
      <c r="J49" s="226"/>
      <c r="K49" s="226"/>
      <c r="L49" s="226"/>
      <c r="M49" s="226"/>
      <c r="N49" s="226"/>
      <c r="O49" s="707"/>
    </row>
    <row r="50" spans="8:15">
      <c r="H50" s="707"/>
      <c r="I50" s="226"/>
      <c r="J50" s="226"/>
      <c r="K50" s="226"/>
      <c r="L50" s="226"/>
      <c r="M50" s="226"/>
      <c r="N50" s="226"/>
      <c r="O50" s="707"/>
    </row>
    <row r="51" spans="8:15">
      <c r="H51" s="707"/>
      <c r="I51" s="226"/>
      <c r="J51" s="226"/>
      <c r="K51" s="226"/>
      <c r="L51" s="226"/>
      <c r="M51" s="226"/>
      <c r="N51" s="226"/>
      <c r="O51" s="707"/>
    </row>
    <row r="52" spans="8:15">
      <c r="H52" s="707"/>
      <c r="I52" s="226"/>
      <c r="J52" s="226"/>
      <c r="K52" s="226"/>
      <c r="L52" s="226"/>
      <c r="M52" s="226"/>
      <c r="N52" s="226"/>
      <c r="O52" s="707"/>
    </row>
    <row r="53" spans="8:15">
      <c r="H53" s="707"/>
      <c r="I53" s="226"/>
      <c r="J53" s="226"/>
      <c r="K53" s="226"/>
      <c r="L53" s="226"/>
      <c r="M53" s="226"/>
      <c r="N53" s="226"/>
      <c r="O53" s="707"/>
    </row>
    <row r="54" spans="8:15">
      <c r="H54" s="707"/>
      <c r="I54" s="226"/>
      <c r="J54" s="226"/>
      <c r="K54" s="226"/>
      <c r="L54" s="226"/>
      <c r="M54" s="226"/>
      <c r="N54" s="226"/>
      <c r="O54" s="707"/>
    </row>
    <row r="55" spans="8:15">
      <c r="H55" s="707"/>
      <c r="I55" s="226"/>
      <c r="J55" s="226"/>
      <c r="K55" s="226"/>
      <c r="L55" s="226"/>
      <c r="M55" s="226"/>
      <c r="N55" s="226"/>
      <c r="O55" s="707"/>
    </row>
    <row r="56" spans="8:15">
      <c r="H56" s="707"/>
      <c r="I56" s="226"/>
      <c r="J56" s="226"/>
      <c r="K56" s="226"/>
      <c r="L56" s="226"/>
      <c r="M56" s="226"/>
      <c r="N56" s="226"/>
      <c r="O56" s="707"/>
    </row>
    <row r="57" spans="8:15">
      <c r="H57" s="707"/>
      <c r="I57" s="226"/>
      <c r="J57" s="226"/>
      <c r="K57" s="226"/>
      <c r="L57" s="226"/>
      <c r="M57" s="226"/>
      <c r="N57" s="226"/>
      <c r="O57" s="707"/>
    </row>
    <row r="58" spans="8:15">
      <c r="H58" s="707"/>
      <c r="I58" s="226"/>
      <c r="J58" s="226"/>
      <c r="K58" s="226"/>
      <c r="L58" s="226"/>
      <c r="M58" s="226"/>
      <c r="N58" s="226"/>
      <c r="O58" s="707"/>
    </row>
    <row r="59" spans="8:15">
      <c r="H59" s="707"/>
      <c r="I59" s="707"/>
      <c r="J59" s="707"/>
      <c r="K59" s="707"/>
      <c r="L59" s="707"/>
      <c r="M59" s="707"/>
      <c r="N59" s="707"/>
      <c r="O59" s="707"/>
    </row>
    <row r="60" spans="8:15">
      <c r="H60" s="707"/>
      <c r="I60" s="707"/>
      <c r="J60" s="707"/>
      <c r="K60" s="707"/>
      <c r="L60" s="707"/>
      <c r="M60" s="707"/>
      <c r="N60" s="707"/>
      <c r="O60" s="707"/>
    </row>
    <row r="61" spans="8:15">
      <c r="H61" s="226"/>
      <c r="I61" s="707"/>
      <c r="J61" s="707"/>
      <c r="K61" s="707"/>
      <c r="L61" s="707"/>
      <c r="M61" s="707"/>
      <c r="N61" s="707"/>
      <c r="O61" s="226"/>
    </row>
    <row r="62" spans="8:15">
      <c r="H62" s="226"/>
      <c r="I62" s="707"/>
      <c r="J62" s="707"/>
      <c r="K62" s="707"/>
      <c r="L62" s="707"/>
      <c r="M62" s="707"/>
      <c r="N62" s="707"/>
      <c r="O62" s="226"/>
    </row>
    <row r="63" spans="8:15">
      <c r="H63" s="226"/>
      <c r="I63" s="707"/>
      <c r="J63" s="707"/>
      <c r="K63" s="707"/>
      <c r="L63" s="707"/>
      <c r="M63" s="707"/>
      <c r="N63" s="707"/>
      <c r="O63" s="226"/>
    </row>
    <row r="64" spans="8:15">
      <c r="H64" s="226"/>
      <c r="I64" s="707"/>
      <c r="J64" s="707"/>
      <c r="K64" s="707"/>
      <c r="L64" s="707"/>
      <c r="M64" s="707"/>
      <c r="N64" s="707"/>
      <c r="O64" s="226"/>
    </row>
    <row r="65" spans="7:15">
      <c r="G65" s="226"/>
      <c r="H65" s="707"/>
      <c r="I65" s="707"/>
      <c r="J65" s="707"/>
      <c r="K65" s="707"/>
      <c r="L65" s="707"/>
      <c r="M65" s="707"/>
      <c r="N65" s="707"/>
      <c r="O65" s="707"/>
    </row>
    <row r="66" spans="7:15">
      <c r="G66" s="226"/>
      <c r="H66" s="707"/>
      <c r="I66" s="707"/>
      <c r="J66" s="707"/>
      <c r="K66" s="707"/>
      <c r="L66" s="707"/>
      <c r="M66" s="707"/>
      <c r="N66" s="707"/>
      <c r="O66" s="707"/>
    </row>
    <row r="67" spans="7:15">
      <c r="G67" s="226"/>
      <c r="H67" s="707"/>
      <c r="I67" s="707"/>
      <c r="J67" s="707"/>
      <c r="K67" s="707"/>
      <c r="L67" s="707"/>
      <c r="M67" s="707"/>
      <c r="N67" s="707"/>
      <c r="O67" s="707"/>
    </row>
    <row r="68" spans="7:15">
      <c r="G68" s="226"/>
      <c r="H68" s="226"/>
      <c r="I68" s="707"/>
      <c r="J68" s="707"/>
      <c r="K68" s="707"/>
      <c r="L68" s="707"/>
      <c r="M68" s="707"/>
      <c r="N68" s="707"/>
      <c r="O68" s="226"/>
    </row>
    <row r="69" spans="7:15">
      <c r="G69" s="226"/>
      <c r="H69" s="226"/>
      <c r="I69" s="707"/>
      <c r="J69" s="707"/>
      <c r="K69" s="707"/>
      <c r="L69" s="707"/>
      <c r="M69" s="707"/>
      <c r="N69" s="707"/>
      <c r="O69" s="226"/>
    </row>
    <row r="70" spans="7:15">
      <c r="G70" s="226"/>
      <c r="H70" s="226"/>
      <c r="I70" s="707"/>
      <c r="J70" s="707"/>
      <c r="K70" s="707"/>
      <c r="L70" s="707"/>
      <c r="M70" s="707"/>
      <c r="N70" s="707"/>
      <c r="O70" s="226"/>
    </row>
    <row r="71" spans="7:15">
      <c r="G71" s="707"/>
      <c r="H71" s="226"/>
      <c r="I71" s="707"/>
      <c r="J71" s="707"/>
      <c r="K71" s="707"/>
      <c r="L71" s="707"/>
      <c r="M71" s="707"/>
      <c r="N71" s="707"/>
      <c r="O71" s="226"/>
    </row>
    <row r="72" spans="7:15">
      <c r="G72" s="707"/>
      <c r="H72" s="226"/>
      <c r="I72" s="707"/>
      <c r="J72" s="707"/>
      <c r="K72" s="707"/>
      <c r="L72" s="707"/>
      <c r="M72" s="707"/>
      <c r="N72" s="707"/>
      <c r="O72" s="226"/>
    </row>
    <row r="73" spans="7:15">
      <c r="G73" s="707"/>
      <c r="H73" s="226"/>
      <c r="I73" s="707"/>
      <c r="J73" s="707"/>
      <c r="K73" s="707"/>
      <c r="L73" s="707"/>
      <c r="M73" s="707"/>
      <c r="N73" s="707"/>
      <c r="O73" s="226"/>
    </row>
    <row r="74" spans="7:15">
      <c r="G74" s="707"/>
      <c r="H74" s="226"/>
      <c r="I74" s="707"/>
      <c r="J74" s="707"/>
      <c r="K74" s="707"/>
      <c r="L74" s="707"/>
      <c r="M74" s="707"/>
      <c r="N74" s="707"/>
      <c r="O74" s="226"/>
    </row>
    <row r="75" spans="7:15">
      <c r="G75" s="707"/>
      <c r="H75" s="226"/>
      <c r="I75" s="707"/>
      <c r="J75" s="707"/>
      <c r="K75" s="707"/>
      <c r="L75" s="707"/>
      <c r="M75" s="707"/>
      <c r="N75" s="707"/>
      <c r="O75" s="226"/>
    </row>
    <row r="76" spans="7:15">
      <c r="G76" s="707"/>
      <c r="H76" s="226"/>
      <c r="I76" s="707"/>
      <c r="J76" s="707"/>
      <c r="K76" s="707"/>
      <c r="L76" s="707"/>
      <c r="M76" s="707"/>
      <c r="N76" s="707"/>
      <c r="O76" s="226"/>
    </row>
    <row r="77" spans="7:15">
      <c r="G77" s="707"/>
      <c r="H77" s="226"/>
      <c r="I77" s="707"/>
      <c r="J77" s="707"/>
      <c r="K77" s="707"/>
      <c r="L77" s="707"/>
      <c r="M77" s="707"/>
      <c r="N77" s="707"/>
      <c r="O77" s="226"/>
    </row>
    <row r="78" spans="7:15">
      <c r="G78" s="707"/>
      <c r="H78" s="707"/>
      <c r="I78" s="707"/>
      <c r="J78" s="707"/>
      <c r="K78" s="707"/>
      <c r="L78" s="707"/>
      <c r="M78" s="707"/>
      <c r="N78" s="707"/>
      <c r="O78" s="707"/>
    </row>
    <row r="79" spans="7:15">
      <c r="G79" s="707"/>
      <c r="H79" s="707"/>
      <c r="I79" s="707"/>
      <c r="J79" s="707"/>
      <c r="K79" s="707"/>
      <c r="L79" s="707"/>
      <c r="M79" s="707"/>
      <c r="N79" s="707"/>
      <c r="O79" s="707"/>
    </row>
    <row r="80" spans="7:15">
      <c r="G80" s="707"/>
      <c r="H80" s="707"/>
      <c r="I80" s="707"/>
      <c r="J80" s="707"/>
      <c r="K80" s="707"/>
      <c r="L80" s="707"/>
      <c r="M80" s="707"/>
      <c r="N80" s="707"/>
      <c r="O80" s="707"/>
    </row>
    <row r="81" spans="6:15">
      <c r="F81" s="226"/>
      <c r="G81" s="707"/>
      <c r="H81" s="707"/>
      <c r="I81" s="707"/>
      <c r="J81" s="707"/>
      <c r="K81" s="707"/>
      <c r="L81" s="707"/>
      <c r="M81" s="707"/>
      <c r="N81" s="707"/>
      <c r="O81" s="707"/>
    </row>
    <row r="82" spans="6:15">
      <c r="F82" s="226"/>
      <c r="G82" s="707"/>
      <c r="H82" s="707"/>
      <c r="I82" s="707"/>
      <c r="J82" s="707"/>
      <c r="K82" s="707"/>
      <c r="L82" s="707"/>
      <c r="M82" s="707"/>
      <c r="N82" s="707"/>
      <c r="O82" s="707"/>
    </row>
    <row r="83" spans="6:15">
      <c r="F83" s="718"/>
      <c r="G83" s="707"/>
      <c r="H83" s="707"/>
      <c r="I83" s="707"/>
      <c r="J83" s="707"/>
      <c r="K83" s="707"/>
      <c r="L83" s="707"/>
      <c r="M83" s="707"/>
      <c r="N83" s="707"/>
      <c r="O83" s="707"/>
    </row>
    <row r="84" spans="6:15">
      <c r="F84" s="718"/>
      <c r="G84" s="707"/>
      <c r="H84" s="707"/>
      <c r="I84" s="707"/>
      <c r="J84" s="707"/>
      <c r="K84" s="707"/>
      <c r="L84" s="707"/>
      <c r="M84" s="707"/>
      <c r="N84" s="707"/>
      <c r="O84" s="707"/>
    </row>
    <row r="85" spans="6:15">
      <c r="F85" s="718"/>
      <c r="G85" s="707"/>
      <c r="H85" s="707"/>
      <c r="I85" s="707"/>
      <c r="J85" s="707"/>
      <c r="K85" s="707"/>
      <c r="L85" s="707"/>
      <c r="M85" s="707"/>
      <c r="N85" s="707"/>
      <c r="O85" s="707"/>
    </row>
    <row r="86" spans="6:15">
      <c r="F86" s="718"/>
      <c r="G86" s="707"/>
      <c r="H86" s="707"/>
      <c r="I86" s="707"/>
      <c r="J86" s="707"/>
      <c r="K86" s="707"/>
      <c r="L86" s="707"/>
      <c r="M86" s="707"/>
      <c r="N86" s="707"/>
      <c r="O86" s="707"/>
    </row>
    <row r="87" spans="6:15">
      <c r="F87" s="718"/>
      <c r="G87" s="707"/>
      <c r="H87" s="707"/>
      <c r="I87" s="707"/>
      <c r="J87" s="707"/>
      <c r="K87" s="707"/>
      <c r="L87" s="707"/>
      <c r="M87" s="707"/>
      <c r="N87" s="707"/>
      <c r="O87" s="707"/>
    </row>
    <row r="88" spans="6:15">
      <c r="F88" s="718"/>
      <c r="G88" s="707"/>
      <c r="H88" s="707"/>
      <c r="I88" s="707"/>
      <c r="J88" s="707"/>
      <c r="K88" s="707"/>
      <c r="L88" s="707"/>
      <c r="M88" s="707"/>
      <c r="N88" s="707"/>
      <c r="O88" s="707"/>
    </row>
    <row r="89" spans="6:15">
      <c r="F89" s="718"/>
      <c r="G89" s="707"/>
      <c r="H89" s="707"/>
      <c r="I89" s="707"/>
      <c r="J89" s="707"/>
      <c r="K89" s="707"/>
      <c r="L89" s="707"/>
      <c r="M89" s="707"/>
      <c r="N89" s="707"/>
      <c r="O89" s="707"/>
    </row>
    <row r="90" spans="6:15">
      <c r="F90" s="718"/>
      <c r="G90" s="707"/>
      <c r="H90" s="707"/>
      <c r="I90" s="707"/>
      <c r="J90" s="707"/>
      <c r="K90" s="707"/>
      <c r="L90" s="707"/>
      <c r="M90" s="707"/>
      <c r="N90" s="707"/>
      <c r="O90" s="707"/>
    </row>
    <row r="91" spans="6:15">
      <c r="F91" s="718"/>
      <c r="G91" s="707"/>
      <c r="H91" s="707"/>
      <c r="I91" s="707"/>
      <c r="J91" s="707"/>
      <c r="K91" s="707"/>
      <c r="L91" s="707"/>
      <c r="M91" s="707"/>
      <c r="N91" s="707"/>
      <c r="O91" s="707"/>
    </row>
    <row r="92" spans="6:15">
      <c r="F92" s="718"/>
      <c r="G92" s="707"/>
      <c r="H92" s="707"/>
      <c r="I92" s="707"/>
      <c r="J92" s="707"/>
      <c r="K92" s="707"/>
      <c r="L92" s="707"/>
      <c r="M92" s="707"/>
      <c r="N92" s="707"/>
      <c r="O92" s="707"/>
    </row>
    <row r="93" spans="6:15">
      <c r="F93" s="718"/>
      <c r="G93" s="707"/>
      <c r="H93" s="707"/>
      <c r="I93" s="707"/>
      <c r="J93" s="707"/>
      <c r="K93" s="707"/>
      <c r="L93" s="707"/>
      <c r="M93" s="707"/>
      <c r="N93" s="707"/>
      <c r="O93" s="707"/>
    </row>
    <row r="94" spans="6:15">
      <c r="F94" s="718"/>
      <c r="G94" s="707"/>
      <c r="H94" s="707"/>
      <c r="I94" s="707"/>
      <c r="J94" s="707"/>
      <c r="K94" s="707"/>
      <c r="L94" s="707"/>
      <c r="M94" s="707"/>
      <c r="N94" s="707"/>
      <c r="O94" s="707"/>
    </row>
    <row r="95" spans="6:15">
      <c r="F95" s="718"/>
      <c r="G95" s="707"/>
      <c r="H95" s="707"/>
      <c r="I95" s="707"/>
      <c r="J95" s="707"/>
      <c r="K95" s="707"/>
      <c r="L95" s="707"/>
      <c r="M95" s="707"/>
      <c r="N95" s="707"/>
      <c r="O95" s="707"/>
    </row>
    <row r="96" spans="6:15">
      <c r="F96" s="718"/>
      <c r="G96" s="707"/>
      <c r="H96" s="707"/>
      <c r="I96" s="707"/>
      <c r="J96" s="707"/>
      <c r="K96" s="707"/>
      <c r="L96" s="707"/>
      <c r="M96" s="707"/>
      <c r="N96" s="707"/>
      <c r="O96" s="707"/>
    </row>
    <row r="97" spans="6:15">
      <c r="F97" s="718"/>
      <c r="G97" s="707"/>
      <c r="H97" s="707"/>
      <c r="I97" s="707"/>
      <c r="J97" s="707"/>
      <c r="K97" s="707"/>
      <c r="L97" s="707"/>
      <c r="M97" s="707"/>
      <c r="N97" s="707"/>
      <c r="O97" s="707"/>
    </row>
    <row r="98" spans="6:15">
      <c r="F98" s="718"/>
      <c r="G98" s="707"/>
      <c r="H98" s="707"/>
      <c r="I98" s="707"/>
      <c r="J98" s="707"/>
      <c r="K98" s="707"/>
      <c r="L98" s="707"/>
      <c r="M98" s="707"/>
      <c r="N98" s="707"/>
      <c r="O98" s="707"/>
    </row>
    <row r="99" spans="6:15">
      <c r="F99" s="718"/>
      <c r="G99" s="707"/>
      <c r="H99" s="707"/>
      <c r="I99" s="707"/>
      <c r="J99" s="707"/>
      <c r="K99" s="707"/>
      <c r="L99" s="707"/>
      <c r="M99" s="707"/>
      <c r="N99" s="707"/>
      <c r="O99" s="707"/>
    </row>
    <row r="100" spans="6:15">
      <c r="F100" s="718"/>
      <c r="G100" s="707"/>
      <c r="H100" s="707"/>
      <c r="I100" s="707"/>
      <c r="J100" s="707"/>
      <c r="K100" s="707"/>
      <c r="L100" s="707"/>
      <c r="M100" s="707"/>
      <c r="N100" s="707"/>
      <c r="O100" s="707"/>
    </row>
    <row r="101" spans="6:15">
      <c r="F101" s="718"/>
      <c r="G101" s="707"/>
      <c r="H101" s="707"/>
      <c r="I101" s="707"/>
      <c r="J101" s="707"/>
      <c r="K101" s="707"/>
      <c r="L101" s="707"/>
      <c r="M101" s="707"/>
      <c r="N101" s="707"/>
      <c r="O101" s="707"/>
    </row>
    <row r="102" spans="6:15">
      <c r="F102" s="718"/>
      <c r="G102" s="707"/>
      <c r="H102" s="707"/>
      <c r="I102" s="707"/>
      <c r="J102" s="707"/>
      <c r="K102" s="707"/>
      <c r="L102" s="707"/>
      <c r="M102" s="707"/>
      <c r="N102" s="707"/>
      <c r="O102" s="707"/>
    </row>
    <row r="103" spans="6:15">
      <c r="F103" s="718"/>
      <c r="G103" s="707"/>
      <c r="H103" s="707"/>
      <c r="I103" s="707"/>
      <c r="J103" s="707"/>
      <c r="K103" s="707"/>
      <c r="L103" s="707"/>
      <c r="M103" s="707"/>
      <c r="N103" s="707"/>
      <c r="O103" s="707"/>
    </row>
    <row r="104" spans="6:15">
      <c r="F104" s="718"/>
      <c r="G104" s="707"/>
      <c r="H104" s="707"/>
      <c r="I104" s="707"/>
      <c r="J104" s="707"/>
      <c r="K104" s="707"/>
      <c r="L104" s="707"/>
      <c r="M104" s="707"/>
      <c r="N104" s="707"/>
      <c r="O104" s="707"/>
    </row>
    <row r="105" spans="6:15">
      <c r="F105" s="718"/>
      <c r="G105" s="707"/>
      <c r="H105" s="707"/>
      <c r="I105" s="707"/>
      <c r="J105" s="707"/>
      <c r="K105" s="707"/>
      <c r="L105" s="707"/>
      <c r="M105" s="707"/>
      <c r="N105" s="707"/>
      <c r="O105" s="707"/>
    </row>
    <row r="106" spans="6:15">
      <c r="F106" s="718"/>
      <c r="G106" s="707"/>
      <c r="H106" s="707"/>
      <c r="I106" s="707"/>
      <c r="J106" s="707"/>
      <c r="K106" s="707"/>
      <c r="L106" s="707"/>
      <c r="M106" s="707"/>
      <c r="N106" s="707"/>
      <c r="O106" s="707"/>
    </row>
    <row r="107" spans="6:15">
      <c r="F107" s="718"/>
      <c r="G107" s="707"/>
      <c r="H107" s="707"/>
      <c r="I107" s="707"/>
      <c r="J107" s="707"/>
      <c r="K107" s="707"/>
      <c r="L107" s="707"/>
      <c r="M107" s="707"/>
      <c r="N107" s="707"/>
      <c r="O107" s="707"/>
    </row>
    <row r="108" spans="6:15">
      <c r="F108" s="718"/>
      <c r="G108" s="707"/>
      <c r="H108" s="707"/>
      <c r="I108" s="707"/>
      <c r="J108" s="707"/>
      <c r="K108" s="707"/>
      <c r="L108" s="707"/>
      <c r="M108" s="707"/>
      <c r="N108" s="707"/>
      <c r="O108" s="707"/>
    </row>
    <row r="109" spans="6:15">
      <c r="F109" s="226"/>
      <c r="G109" s="707"/>
      <c r="H109" s="707"/>
      <c r="I109" s="707"/>
      <c r="J109" s="707"/>
      <c r="K109" s="707"/>
      <c r="L109" s="707"/>
      <c r="M109" s="707"/>
      <c r="N109" s="707"/>
      <c r="O109" s="707"/>
    </row>
    <row r="110" spans="6:15">
      <c r="F110" s="226"/>
      <c r="G110" s="707"/>
      <c r="H110" s="707"/>
      <c r="I110" s="707"/>
      <c r="J110" s="707"/>
      <c r="K110" s="707"/>
      <c r="L110" s="707"/>
      <c r="M110" s="707"/>
      <c r="N110" s="707"/>
      <c r="O110" s="707"/>
    </row>
    <row r="111" spans="6:15">
      <c r="F111" s="226"/>
      <c r="G111" s="707"/>
      <c r="H111" s="707"/>
      <c r="I111" s="707"/>
      <c r="J111" s="707"/>
      <c r="K111" s="707"/>
      <c r="L111" s="707"/>
      <c r="M111" s="707"/>
      <c r="N111" s="707"/>
      <c r="O111" s="707"/>
    </row>
    <row r="112" spans="6:15">
      <c r="F112" s="226"/>
      <c r="G112" s="707"/>
      <c r="H112" s="707"/>
      <c r="I112" s="707"/>
      <c r="J112" s="707"/>
      <c r="K112" s="707"/>
      <c r="L112" s="707"/>
      <c r="M112" s="707"/>
      <c r="N112" s="707"/>
      <c r="O112" s="707"/>
    </row>
    <row r="113" spans="6:15">
      <c r="F113" s="226"/>
      <c r="G113" s="707"/>
      <c r="H113" s="707"/>
      <c r="I113" s="707"/>
      <c r="J113" s="707"/>
      <c r="K113" s="707"/>
      <c r="L113" s="707"/>
      <c r="M113" s="707"/>
      <c r="N113" s="707"/>
      <c r="O113" s="707"/>
    </row>
    <row r="114" spans="6:15">
      <c r="F114" s="226"/>
      <c r="G114" s="707"/>
      <c r="H114" s="707"/>
      <c r="I114" s="707"/>
      <c r="J114" s="707"/>
      <c r="K114" s="707"/>
      <c r="L114" s="707"/>
      <c r="M114" s="707"/>
      <c r="N114" s="707"/>
      <c r="O114" s="707"/>
    </row>
    <row r="115" spans="6:15">
      <c r="F115" s="226"/>
      <c r="G115" s="707"/>
      <c r="H115" s="707"/>
      <c r="I115" s="707"/>
      <c r="J115" s="707"/>
      <c r="K115" s="707"/>
      <c r="L115" s="707"/>
      <c r="M115" s="707"/>
      <c r="N115" s="707"/>
      <c r="O115" s="707"/>
    </row>
    <row r="116" spans="6:15">
      <c r="F116" s="226"/>
      <c r="G116" s="707"/>
      <c r="H116" s="707"/>
      <c r="I116" s="707"/>
      <c r="J116" s="707"/>
      <c r="K116" s="707"/>
      <c r="L116" s="707"/>
      <c r="M116" s="707"/>
      <c r="N116" s="707"/>
      <c r="O116" s="707"/>
    </row>
    <row r="117" spans="6:15">
      <c r="F117" s="226"/>
      <c r="G117" s="707"/>
      <c r="H117" s="707"/>
      <c r="I117" s="707"/>
      <c r="J117" s="707"/>
      <c r="K117" s="707"/>
      <c r="L117" s="707"/>
      <c r="M117" s="707"/>
      <c r="N117" s="707"/>
      <c r="O117" s="707"/>
    </row>
    <row r="118" spans="6:15">
      <c r="F118" s="226"/>
      <c r="G118" s="707"/>
      <c r="H118" s="707"/>
      <c r="I118" s="707"/>
      <c r="J118" s="707"/>
      <c r="K118" s="707"/>
      <c r="L118" s="707"/>
      <c r="M118" s="707"/>
      <c r="N118" s="707"/>
      <c r="O118" s="707"/>
    </row>
    <row r="119" spans="6:15">
      <c r="F119" s="226"/>
      <c r="G119" s="707"/>
      <c r="H119" s="707"/>
      <c r="I119" s="707"/>
      <c r="J119" s="707"/>
      <c r="K119" s="707"/>
      <c r="L119" s="707"/>
      <c r="M119" s="707"/>
      <c r="N119" s="707"/>
      <c r="O119" s="707"/>
    </row>
    <row r="120" spans="6:15">
      <c r="F120" s="718"/>
      <c r="G120" s="707"/>
      <c r="H120" s="707"/>
      <c r="I120" s="226"/>
      <c r="J120" s="226"/>
      <c r="K120" s="226"/>
      <c r="L120" s="226"/>
      <c r="M120" s="226"/>
      <c r="N120" s="226"/>
      <c r="O120" s="707"/>
    </row>
    <row r="121" spans="6:15">
      <c r="F121" s="718"/>
      <c r="G121" s="707"/>
      <c r="H121" s="707"/>
      <c r="I121" s="226"/>
      <c r="J121" s="226"/>
      <c r="K121" s="226"/>
      <c r="L121" s="226"/>
      <c r="M121" s="226"/>
      <c r="N121" s="226"/>
      <c r="O121" s="707"/>
    </row>
    <row r="122" spans="6:15">
      <c r="F122" s="718"/>
      <c r="G122" s="707"/>
      <c r="H122" s="707"/>
      <c r="I122" s="45"/>
      <c r="J122" s="45"/>
      <c r="K122" s="45"/>
      <c r="L122" s="45"/>
      <c r="M122" s="45"/>
      <c r="N122" s="45"/>
      <c r="O122" s="707"/>
    </row>
    <row r="123" spans="6:15">
      <c r="F123" s="718"/>
      <c r="G123" s="707"/>
      <c r="H123" s="707"/>
      <c r="I123" s="719"/>
      <c r="J123" s="719"/>
      <c r="K123" s="719"/>
      <c r="L123" s="719"/>
      <c r="M123" s="719"/>
      <c r="N123" s="719"/>
      <c r="O123" s="707"/>
    </row>
    <row r="124" spans="6:15">
      <c r="F124" s="718"/>
      <c r="G124" s="707"/>
      <c r="H124" s="707"/>
      <c r="I124" s="45"/>
      <c r="J124" s="45"/>
      <c r="K124" s="45"/>
      <c r="L124" s="45"/>
      <c r="M124" s="45"/>
      <c r="N124" s="45"/>
      <c r="O124" s="707"/>
    </row>
    <row r="125" spans="6:15">
      <c r="F125" s="718"/>
      <c r="G125" s="707"/>
      <c r="H125" s="707"/>
      <c r="I125" s="226"/>
      <c r="J125" s="226"/>
      <c r="K125" s="226"/>
      <c r="L125" s="226"/>
      <c r="M125" s="226"/>
      <c r="N125" s="226"/>
      <c r="O125" s="707"/>
    </row>
    <row r="126" spans="6:15">
      <c r="F126" s="718"/>
      <c r="G126" s="707"/>
      <c r="H126" s="707"/>
      <c r="I126" s="226"/>
      <c r="J126" s="226"/>
      <c r="K126" s="226"/>
      <c r="L126" s="226"/>
      <c r="M126" s="226"/>
      <c r="N126" s="226"/>
      <c r="O126" s="707"/>
    </row>
    <row r="127" spans="6:15">
      <c r="F127" s="718"/>
      <c r="G127" s="707"/>
      <c r="H127" s="707"/>
      <c r="I127" s="226"/>
      <c r="J127" s="226"/>
      <c r="K127" s="226"/>
      <c r="L127" s="226"/>
      <c r="M127" s="226"/>
      <c r="N127" s="226"/>
      <c r="O127" s="707"/>
    </row>
    <row r="128" spans="6:15">
      <c r="F128" s="718"/>
      <c r="G128" s="707"/>
      <c r="H128" s="707"/>
      <c r="I128" s="226"/>
      <c r="J128" s="226"/>
      <c r="K128" s="226"/>
      <c r="L128" s="226"/>
      <c r="M128" s="226"/>
      <c r="N128" s="226"/>
      <c r="O128" s="707"/>
    </row>
    <row r="129" spans="2:72">
      <c r="B129" s="226"/>
      <c r="C129" s="226"/>
      <c r="D129" s="226"/>
      <c r="E129" s="226"/>
      <c r="F129" s="718"/>
      <c r="G129" s="707"/>
      <c r="H129" s="707"/>
      <c r="I129" s="226"/>
      <c r="J129" s="226"/>
      <c r="K129" s="226"/>
      <c r="L129" s="226"/>
      <c r="M129" s="226"/>
      <c r="N129" s="226"/>
      <c r="O129" s="707"/>
      <c r="P129" s="226"/>
      <c r="Q129" s="226"/>
      <c r="R129" s="226"/>
      <c r="S129" s="226"/>
      <c r="T129" s="226"/>
      <c r="U129" s="226"/>
      <c r="V129" s="226"/>
      <c r="W129" s="226"/>
      <c r="X129" s="226"/>
      <c r="Y129" s="226"/>
      <c r="Z129" s="226"/>
      <c r="AA129" s="226"/>
      <c r="AB129" s="226"/>
      <c r="AC129" s="226"/>
      <c r="AD129" s="226"/>
      <c r="AE129" s="226"/>
      <c r="AF129" s="226"/>
      <c r="AG129" s="226"/>
      <c r="AH129" s="226"/>
      <c r="AI129" s="226"/>
      <c r="AJ129" s="226"/>
      <c r="AK129" s="226"/>
      <c r="AL129" s="226"/>
      <c r="AM129" s="226"/>
      <c r="AN129" s="226"/>
      <c r="AO129" s="226"/>
      <c r="AP129" s="226"/>
      <c r="AQ129" s="226"/>
      <c r="AR129" s="226"/>
      <c r="AS129" s="226"/>
      <c r="AT129" s="226"/>
      <c r="AU129" s="226"/>
      <c r="AV129" s="226"/>
      <c r="AW129" s="226"/>
      <c r="AX129" s="226"/>
      <c r="AY129" s="226"/>
      <c r="AZ129" s="226"/>
      <c r="BA129" s="226"/>
      <c r="BB129" s="226"/>
      <c r="BC129" s="226"/>
      <c r="BD129" s="226"/>
      <c r="BE129" s="226"/>
      <c r="BF129" s="226"/>
      <c r="BG129" s="226"/>
      <c r="BH129" s="226"/>
      <c r="BI129" s="226"/>
      <c r="BJ129" s="226"/>
      <c r="BK129" s="226"/>
      <c r="BL129" s="226"/>
      <c r="BM129" s="226"/>
      <c r="BN129" s="226"/>
      <c r="BO129" s="226"/>
      <c r="BP129" s="226"/>
      <c r="BQ129" s="226"/>
      <c r="BR129" s="226"/>
      <c r="BS129" s="226"/>
      <c r="BT129" s="226"/>
    </row>
    <row r="130" spans="2:72">
      <c r="B130" s="226"/>
      <c r="C130" s="226"/>
      <c r="D130" s="226"/>
      <c r="E130" s="226"/>
      <c r="F130" s="718"/>
      <c r="G130" s="707"/>
      <c r="H130" s="707"/>
      <c r="I130" s="226"/>
      <c r="J130" s="226"/>
      <c r="K130" s="226"/>
      <c r="L130" s="226"/>
      <c r="M130" s="226"/>
      <c r="N130" s="226"/>
      <c r="O130" s="707"/>
      <c r="P130" s="226"/>
      <c r="Q130" s="226"/>
      <c r="R130" s="226"/>
      <c r="S130" s="226"/>
      <c r="T130" s="226"/>
      <c r="U130" s="226"/>
      <c r="V130" s="226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26"/>
      <c r="AJ130" s="226"/>
      <c r="AK130" s="226"/>
      <c r="AL130" s="226"/>
      <c r="AM130" s="226"/>
      <c r="AN130" s="226"/>
      <c r="AO130" s="226"/>
      <c r="AP130" s="226"/>
      <c r="AQ130" s="226"/>
      <c r="AR130" s="226"/>
      <c r="AS130" s="226"/>
      <c r="AT130" s="226"/>
      <c r="AU130" s="226"/>
      <c r="AV130" s="226"/>
      <c r="AW130" s="226"/>
      <c r="AX130" s="226"/>
      <c r="AY130" s="226"/>
      <c r="AZ130" s="226"/>
      <c r="BA130" s="226"/>
      <c r="BB130" s="226"/>
      <c r="BC130" s="226"/>
      <c r="BD130" s="226"/>
      <c r="BE130" s="226"/>
      <c r="BF130" s="226"/>
      <c r="BG130" s="226"/>
      <c r="BH130" s="226"/>
      <c r="BI130" s="226"/>
      <c r="BJ130" s="226"/>
      <c r="BK130" s="226"/>
      <c r="BL130" s="226"/>
      <c r="BM130" s="226"/>
      <c r="BN130" s="226"/>
      <c r="BO130" s="226"/>
      <c r="BP130" s="226"/>
      <c r="BQ130" s="226"/>
      <c r="BR130" s="226"/>
      <c r="BS130" s="226"/>
      <c r="BT130" s="226"/>
    </row>
    <row r="131" spans="2:72">
      <c r="B131" s="226"/>
      <c r="C131" s="226"/>
      <c r="D131" s="226"/>
      <c r="E131" s="226"/>
      <c r="F131" s="226"/>
      <c r="G131" s="707"/>
      <c r="H131" s="707"/>
      <c r="I131" s="226"/>
      <c r="J131" s="226"/>
      <c r="K131" s="226"/>
      <c r="L131" s="226"/>
      <c r="M131" s="226"/>
      <c r="N131" s="226"/>
      <c r="O131" s="707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6"/>
      <c r="AA131" s="226"/>
      <c r="AB131" s="226"/>
      <c r="AC131" s="226"/>
      <c r="AD131" s="226"/>
      <c r="AE131" s="226"/>
      <c r="AF131" s="226"/>
      <c r="AG131" s="226"/>
      <c r="AH131" s="226"/>
      <c r="AI131" s="226"/>
      <c r="AJ131" s="226"/>
      <c r="AK131" s="226"/>
      <c r="AL131" s="226"/>
      <c r="AM131" s="226"/>
      <c r="AN131" s="226"/>
      <c r="AO131" s="226"/>
      <c r="AP131" s="226"/>
      <c r="AQ131" s="226"/>
      <c r="AR131" s="226"/>
      <c r="AS131" s="226"/>
      <c r="AT131" s="226"/>
      <c r="AU131" s="226"/>
      <c r="AV131" s="226"/>
      <c r="AW131" s="226"/>
      <c r="AX131" s="226"/>
      <c r="AY131" s="226"/>
      <c r="AZ131" s="226"/>
      <c r="BA131" s="226"/>
      <c r="BB131" s="226"/>
      <c r="BC131" s="226"/>
      <c r="BD131" s="226"/>
      <c r="BE131" s="226"/>
      <c r="BF131" s="226"/>
      <c r="BG131" s="226"/>
      <c r="BH131" s="226"/>
      <c r="BI131" s="226"/>
      <c r="BJ131" s="226"/>
      <c r="BK131" s="226"/>
      <c r="BL131" s="226"/>
      <c r="BM131" s="226"/>
      <c r="BN131" s="226"/>
      <c r="BO131" s="226"/>
      <c r="BP131" s="226"/>
      <c r="BQ131" s="226"/>
      <c r="BR131" s="226"/>
      <c r="BS131" s="226"/>
      <c r="BT131" s="226"/>
    </row>
    <row r="132" spans="2:72">
      <c r="B132" s="226"/>
      <c r="C132" s="226"/>
      <c r="D132" s="226"/>
      <c r="E132" s="226"/>
      <c r="F132" s="226"/>
      <c r="G132" s="226"/>
      <c r="H132" s="707"/>
      <c r="I132" s="226"/>
      <c r="J132" s="226"/>
      <c r="K132" s="226"/>
      <c r="L132" s="226"/>
      <c r="M132" s="226"/>
      <c r="N132" s="226"/>
      <c r="O132" s="707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  <c r="AG132" s="226"/>
      <c r="AH132" s="226"/>
      <c r="AI132" s="226"/>
      <c r="AJ132" s="226"/>
      <c r="AK132" s="226"/>
      <c r="AL132" s="226"/>
      <c r="AM132" s="226"/>
      <c r="AN132" s="226"/>
      <c r="AO132" s="226"/>
      <c r="AP132" s="226"/>
      <c r="AQ132" s="226"/>
      <c r="AR132" s="226"/>
      <c r="AS132" s="226"/>
      <c r="AT132" s="226"/>
      <c r="AU132" s="226"/>
      <c r="AV132" s="226"/>
      <c r="AW132" s="226"/>
      <c r="AX132" s="226"/>
      <c r="AY132" s="226"/>
      <c r="AZ132" s="226"/>
      <c r="BA132" s="226"/>
      <c r="BB132" s="226"/>
      <c r="BC132" s="226"/>
      <c r="BD132" s="226"/>
      <c r="BE132" s="226"/>
      <c r="BF132" s="226"/>
      <c r="BG132" s="226"/>
      <c r="BH132" s="226"/>
      <c r="BI132" s="226"/>
      <c r="BJ132" s="226"/>
      <c r="BK132" s="226"/>
      <c r="BL132" s="226"/>
      <c r="BM132" s="226"/>
      <c r="BN132" s="226"/>
      <c r="BO132" s="226"/>
      <c r="BP132" s="226"/>
      <c r="BQ132" s="226"/>
      <c r="BR132" s="226"/>
      <c r="BS132" s="226"/>
      <c r="BT132" s="226"/>
    </row>
    <row r="133" spans="2:72">
      <c r="B133" s="226"/>
      <c r="C133" s="226"/>
      <c r="D133" s="226"/>
      <c r="E133" s="718"/>
      <c r="F133" s="226"/>
      <c r="G133" s="226"/>
      <c r="H133" s="707"/>
      <c r="I133" s="226"/>
      <c r="J133" s="226"/>
      <c r="K133" s="226"/>
      <c r="L133" s="226"/>
      <c r="M133" s="226"/>
      <c r="N133" s="226"/>
      <c r="O133" s="707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6"/>
      <c r="AA133" s="226"/>
      <c r="AB133" s="226"/>
      <c r="AC133" s="226"/>
      <c r="AD133" s="226"/>
      <c r="AE133" s="226"/>
      <c r="AF133" s="226"/>
      <c r="AG133" s="226"/>
      <c r="AH133" s="226"/>
      <c r="AI133" s="226"/>
      <c r="AJ133" s="226"/>
      <c r="AK133" s="226"/>
      <c r="AL133" s="226"/>
      <c r="AM133" s="226"/>
      <c r="AN133" s="226"/>
      <c r="AO133" s="226"/>
      <c r="AP133" s="226"/>
      <c r="AQ133" s="226"/>
      <c r="AR133" s="226"/>
      <c r="AS133" s="226"/>
      <c r="AT133" s="226"/>
      <c r="AU133" s="226"/>
      <c r="AV133" s="226"/>
      <c r="AW133" s="226"/>
      <c r="AX133" s="226"/>
      <c r="AY133" s="226"/>
      <c r="AZ133" s="226"/>
      <c r="BA133" s="226"/>
      <c r="BB133" s="226"/>
      <c r="BC133" s="226"/>
      <c r="BD133" s="226"/>
      <c r="BE133" s="226"/>
      <c r="BF133" s="226"/>
      <c r="BG133" s="226"/>
      <c r="BH133" s="226"/>
      <c r="BI133" s="226"/>
      <c r="BJ133" s="226"/>
      <c r="BK133" s="226"/>
      <c r="BL133" s="226"/>
      <c r="BM133" s="226"/>
      <c r="BN133" s="226"/>
      <c r="BO133" s="226"/>
      <c r="BP133" s="226"/>
      <c r="BQ133" s="226"/>
      <c r="BR133" s="226"/>
      <c r="BS133" s="226"/>
      <c r="BT133" s="226"/>
    </row>
    <row r="134" spans="2:72">
      <c r="B134" s="719"/>
      <c r="C134" s="719"/>
      <c r="D134" s="226"/>
      <c r="E134" s="226"/>
      <c r="F134" s="45"/>
      <c r="G134" s="45"/>
      <c r="H134" s="707"/>
      <c r="I134" s="226"/>
      <c r="J134" s="226"/>
      <c r="K134" s="226"/>
      <c r="L134" s="226"/>
      <c r="M134" s="226"/>
      <c r="N134" s="226"/>
      <c r="O134" s="707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6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226"/>
      <c r="AO134" s="226"/>
      <c r="AP134" s="226"/>
      <c r="AQ134" s="226"/>
      <c r="AR134" s="226"/>
      <c r="AS134" s="226"/>
      <c r="AT134" s="226"/>
      <c r="AU134" s="226"/>
      <c r="AV134" s="226"/>
      <c r="AW134" s="226"/>
      <c r="AX134" s="226"/>
      <c r="AY134" s="226"/>
      <c r="AZ134" s="226"/>
      <c r="BA134" s="226"/>
      <c r="BB134" s="226"/>
      <c r="BC134" s="226"/>
      <c r="BD134" s="226"/>
      <c r="BE134" s="226"/>
      <c r="BF134" s="226"/>
      <c r="BG134" s="226"/>
      <c r="BH134" s="226"/>
      <c r="BI134" s="226"/>
      <c r="BJ134" s="226"/>
      <c r="BK134" s="226"/>
      <c r="BL134" s="226"/>
      <c r="BM134" s="226"/>
      <c r="BN134" s="226"/>
      <c r="BO134" s="226"/>
      <c r="BP134" s="226"/>
      <c r="BQ134" s="226"/>
      <c r="BR134" s="226"/>
      <c r="BS134" s="226"/>
      <c r="BT134" s="226"/>
    </row>
    <row r="135" spans="2:72">
      <c r="B135" s="719"/>
      <c r="C135" s="719"/>
      <c r="D135" s="45"/>
      <c r="E135" s="45"/>
      <c r="F135" s="719"/>
      <c r="G135" s="719"/>
      <c r="H135" s="707"/>
      <c r="I135" s="226"/>
      <c r="J135" s="226"/>
      <c r="K135" s="226"/>
      <c r="L135" s="226"/>
      <c r="M135" s="226"/>
      <c r="N135" s="226"/>
      <c r="O135" s="707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719"/>
      <c r="AB135" s="719"/>
      <c r="AC135" s="45"/>
      <c r="AD135" s="45"/>
      <c r="AE135" s="45"/>
      <c r="AF135" s="45"/>
      <c r="AG135" s="45"/>
      <c r="AH135" s="719"/>
      <c r="AI135" s="719"/>
      <c r="AJ135" s="719"/>
      <c r="AK135" s="45"/>
      <c r="AL135" s="45"/>
      <c r="AM135" s="45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AY135" s="226"/>
      <c r="AZ135" s="226"/>
      <c r="BA135" s="226"/>
      <c r="BB135" s="226"/>
      <c r="BC135" s="226"/>
      <c r="BD135" s="226"/>
      <c r="BE135" s="226"/>
      <c r="BF135" s="226"/>
      <c r="BG135" s="226"/>
      <c r="BH135" s="226"/>
      <c r="BI135" s="226"/>
      <c r="BJ135" s="226"/>
      <c r="BK135" s="226"/>
      <c r="BL135" s="226"/>
      <c r="BM135" s="226"/>
      <c r="BN135" s="226"/>
      <c r="BO135" s="226"/>
      <c r="BP135" s="226"/>
      <c r="BQ135" s="226"/>
      <c r="BR135" s="226"/>
      <c r="BS135" s="226"/>
      <c r="BT135" s="226"/>
    </row>
    <row r="136" spans="2:72">
      <c r="B136" s="719"/>
      <c r="C136" s="719"/>
      <c r="D136" s="719"/>
      <c r="E136" s="719"/>
      <c r="F136" s="45"/>
      <c r="G136" s="45"/>
      <c r="H136" s="707"/>
      <c r="I136" s="226"/>
      <c r="J136" s="226"/>
      <c r="K136" s="226"/>
      <c r="L136" s="226"/>
      <c r="M136" s="226"/>
      <c r="N136" s="226"/>
      <c r="O136" s="707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226"/>
      <c r="AO136" s="226"/>
      <c r="AP136" s="226"/>
      <c r="AQ136" s="226"/>
      <c r="AR136" s="226"/>
      <c r="AS136" s="226"/>
      <c r="AT136" s="226"/>
      <c r="AU136" s="226"/>
      <c r="AV136" s="226"/>
      <c r="AW136" s="226"/>
      <c r="AX136" s="226"/>
      <c r="AY136" s="226"/>
      <c r="AZ136" s="226"/>
      <c r="BA136" s="226"/>
      <c r="BB136" s="226"/>
      <c r="BC136" s="226"/>
      <c r="BD136" s="226"/>
      <c r="BE136" s="226"/>
      <c r="BF136" s="226"/>
      <c r="BG136" s="226"/>
      <c r="BH136" s="226"/>
      <c r="BI136" s="226"/>
      <c r="BJ136" s="226"/>
      <c r="BK136" s="226"/>
      <c r="BL136" s="226"/>
      <c r="BM136" s="226"/>
      <c r="BN136" s="226"/>
      <c r="BO136" s="226"/>
      <c r="BP136" s="226"/>
      <c r="BQ136" s="226"/>
      <c r="BR136" s="226"/>
      <c r="BS136" s="226"/>
      <c r="BT136" s="226"/>
    </row>
    <row r="137" spans="2:72">
      <c r="B137" s="226"/>
      <c r="C137" s="226"/>
      <c r="D137" s="45"/>
      <c r="E137" s="45"/>
      <c r="F137" s="226"/>
      <c r="G137" s="226"/>
      <c r="H137" s="707"/>
      <c r="I137" s="226"/>
      <c r="J137" s="226"/>
      <c r="K137" s="226"/>
      <c r="L137" s="226"/>
      <c r="M137" s="226"/>
      <c r="N137" s="226"/>
      <c r="O137" s="707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  <c r="AE137" s="226"/>
      <c r="AF137" s="226"/>
      <c r="AG137" s="226"/>
      <c r="AH137" s="226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AY137" s="226"/>
      <c r="AZ137" s="226"/>
      <c r="BA137" s="226"/>
      <c r="BB137" s="226"/>
      <c r="BC137" s="226"/>
      <c r="BD137" s="226"/>
      <c r="BE137" s="226"/>
      <c r="BF137" s="226"/>
      <c r="BG137" s="226"/>
      <c r="BH137" s="226"/>
      <c r="BI137" s="226"/>
      <c r="BJ137" s="226"/>
      <c r="BK137" s="226"/>
      <c r="BL137" s="226"/>
      <c r="BM137" s="226"/>
      <c r="BN137" s="226"/>
      <c r="BO137" s="226"/>
      <c r="BP137" s="226"/>
      <c r="BQ137" s="226"/>
      <c r="BR137" s="226"/>
      <c r="BS137" s="226"/>
      <c r="BT137" s="226"/>
    </row>
    <row r="138" spans="2:72">
      <c r="B138" s="226"/>
      <c r="C138" s="226"/>
      <c r="D138" s="226"/>
      <c r="E138" s="226"/>
      <c r="F138" s="226"/>
      <c r="G138" s="226"/>
      <c r="H138" s="707"/>
      <c r="I138" s="226"/>
      <c r="J138" s="226"/>
      <c r="K138" s="226"/>
      <c r="L138" s="226"/>
      <c r="M138" s="226"/>
      <c r="N138" s="226"/>
      <c r="O138" s="707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</row>
    <row r="140" spans="2:72">
      <c r="B140" s="226"/>
      <c r="C140" s="226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45"/>
      <c r="Q140" s="45"/>
      <c r="R140" s="45"/>
      <c r="S140" s="45"/>
      <c r="T140" s="45"/>
      <c r="U140" s="45"/>
      <c r="V140" s="45"/>
      <c r="W140" s="45"/>
      <c r="X140" s="45"/>
      <c r="Y140" s="226"/>
      <c r="Z140" s="45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</row>
    <row r="141" spans="2:72" s="167" customFormat="1">
      <c r="B141" s="226"/>
      <c r="C141" s="226"/>
      <c r="D141" s="226"/>
      <c r="E141" s="226"/>
      <c r="F141" s="226"/>
      <c r="G141" s="226"/>
      <c r="H141" s="45"/>
      <c r="I141" s="226"/>
      <c r="J141" s="226"/>
      <c r="K141" s="226"/>
      <c r="L141" s="226"/>
      <c r="M141" s="226"/>
      <c r="N141" s="226"/>
      <c r="O141" s="45"/>
      <c r="P141" s="719"/>
      <c r="Q141" s="719"/>
      <c r="R141" s="719"/>
      <c r="S141" s="719"/>
      <c r="T141" s="719"/>
      <c r="U141" s="719"/>
      <c r="V141" s="719"/>
      <c r="W141" s="719"/>
      <c r="X141" s="719"/>
      <c r="Y141" s="45"/>
      <c r="Z141" s="719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  <c r="BD141" s="45"/>
      <c r="BE141" s="45"/>
      <c r="BF141" s="45"/>
      <c r="BG141" s="45"/>
      <c r="BH141" s="45"/>
      <c r="BI141" s="45"/>
      <c r="BJ141" s="45"/>
      <c r="BK141" s="45"/>
      <c r="BL141" s="45"/>
      <c r="BM141" s="45"/>
      <c r="BN141" s="45"/>
      <c r="BO141" s="45"/>
      <c r="BP141" s="45"/>
      <c r="BQ141" s="45"/>
      <c r="BR141" s="45"/>
      <c r="BS141" s="45"/>
      <c r="BT141" s="45"/>
    </row>
    <row r="142" spans="2:72" s="167" customFormat="1">
      <c r="B142" s="226"/>
      <c r="C142" s="226"/>
      <c r="D142" s="226"/>
      <c r="E142" s="226"/>
      <c r="F142" s="226"/>
      <c r="G142" s="226"/>
      <c r="H142" s="719"/>
      <c r="I142" s="226"/>
      <c r="J142" s="226"/>
      <c r="K142" s="226"/>
      <c r="L142" s="226"/>
      <c r="M142" s="226"/>
      <c r="N142" s="226"/>
      <c r="O142" s="719"/>
      <c r="P142" s="45"/>
      <c r="Q142" s="45"/>
      <c r="R142" s="45"/>
      <c r="S142" s="45"/>
      <c r="T142" s="45"/>
      <c r="U142" s="45"/>
      <c r="V142" s="45"/>
      <c r="W142" s="45"/>
      <c r="X142" s="45"/>
      <c r="Y142" s="719"/>
      <c r="Z142" s="45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45"/>
      <c r="AO142" s="45"/>
      <c r="AP142" s="45"/>
      <c r="AQ142" s="45"/>
      <c r="AR142" s="45"/>
      <c r="AS142" s="45"/>
      <c r="AT142" s="45"/>
      <c r="AU142" s="45"/>
      <c r="AV142" s="45"/>
      <c r="AW142" s="45"/>
      <c r="AX142" s="45"/>
      <c r="AY142" s="45"/>
      <c r="AZ142" s="45"/>
      <c r="BA142" s="45"/>
      <c r="BB142" s="45"/>
      <c r="BC142" s="45"/>
      <c r="BD142" s="45"/>
      <c r="BE142" s="45"/>
      <c r="BF142" s="45"/>
      <c r="BG142" s="45"/>
      <c r="BH142" s="45"/>
      <c r="BI142" s="45"/>
      <c r="BJ142" s="45"/>
      <c r="BK142" s="45"/>
      <c r="BL142" s="45"/>
      <c r="BM142" s="45"/>
      <c r="BN142" s="45"/>
      <c r="BO142" s="45"/>
      <c r="BP142" s="45"/>
      <c r="BQ142" s="45"/>
      <c r="BR142" s="45"/>
      <c r="BS142" s="45"/>
      <c r="BT142" s="45"/>
    </row>
    <row r="143" spans="2:72" s="167" customFormat="1">
      <c r="B143" s="226"/>
      <c r="C143" s="226"/>
      <c r="D143" s="226"/>
      <c r="E143" s="226"/>
      <c r="F143" s="226"/>
      <c r="G143" s="226"/>
      <c r="H143" s="45"/>
      <c r="I143" s="226"/>
      <c r="J143" s="226"/>
      <c r="K143" s="226"/>
      <c r="L143" s="226"/>
      <c r="M143" s="226"/>
      <c r="N143" s="226"/>
      <c r="O143" s="45"/>
      <c r="P143" s="226"/>
      <c r="Q143" s="226"/>
      <c r="R143" s="226"/>
      <c r="S143" s="226"/>
      <c r="T143" s="226"/>
      <c r="U143" s="226"/>
      <c r="V143" s="226"/>
      <c r="W143" s="226"/>
      <c r="X143" s="226"/>
      <c r="Y143" s="45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  <c r="BP143" s="45"/>
      <c r="BQ143" s="45"/>
      <c r="BR143" s="45"/>
      <c r="BS143" s="45"/>
      <c r="BT143" s="45"/>
    </row>
    <row r="144" spans="2:72">
      <c r="B144" s="226"/>
      <c r="C144" s="226"/>
      <c r="D144" s="226"/>
      <c r="E144" s="226"/>
      <c r="F144" s="226"/>
      <c r="G144" s="226"/>
      <c r="H144" s="226"/>
      <c r="I144" s="232"/>
      <c r="J144" s="232"/>
      <c r="K144" s="232"/>
      <c r="L144" s="232"/>
      <c r="M144" s="232"/>
      <c r="N144" s="232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6"/>
      <c r="AA144" s="226"/>
      <c r="AB144" s="226"/>
      <c r="AC144" s="226"/>
      <c r="AD144" s="226"/>
      <c r="AE144" s="226"/>
      <c r="AF144" s="226"/>
      <c r="AG144" s="226"/>
      <c r="AH144" s="226"/>
      <c r="AI144" s="226"/>
      <c r="AJ144" s="226"/>
      <c r="AK144" s="226"/>
      <c r="AL144" s="226"/>
      <c r="AM144" s="226"/>
      <c r="AN144" s="226"/>
      <c r="AO144" s="226"/>
      <c r="AP144" s="226"/>
      <c r="AQ144" s="226"/>
      <c r="AR144" s="226"/>
      <c r="AS144" s="226"/>
      <c r="AT144" s="226"/>
      <c r="AU144" s="226"/>
      <c r="AV144" s="226"/>
      <c r="AW144" s="226"/>
      <c r="AX144" s="226"/>
      <c r="AY144" s="226"/>
      <c r="AZ144" s="226"/>
      <c r="BA144" s="226"/>
      <c r="BB144" s="226"/>
      <c r="BC144" s="226"/>
      <c r="BD144" s="226"/>
      <c r="BE144" s="226"/>
      <c r="BF144" s="226"/>
      <c r="BG144" s="226"/>
      <c r="BH144" s="226"/>
      <c r="BI144" s="226"/>
      <c r="BJ144" s="226"/>
      <c r="BK144" s="226"/>
      <c r="BL144" s="226"/>
      <c r="BM144" s="226"/>
      <c r="BN144" s="226"/>
      <c r="BO144" s="226"/>
      <c r="BP144" s="226"/>
      <c r="BQ144" s="226"/>
      <c r="BR144" s="226"/>
      <c r="BS144" s="226"/>
      <c r="BT144" s="226"/>
    </row>
    <row r="145" spans="2:39">
      <c r="B145" s="226"/>
      <c r="C145" s="226"/>
      <c r="D145" s="226"/>
      <c r="E145" s="226"/>
      <c r="F145" s="226"/>
      <c r="G145" s="226"/>
      <c r="H145" s="226"/>
      <c r="I145" s="232"/>
      <c r="J145" s="232"/>
      <c r="K145" s="232"/>
      <c r="L145" s="232"/>
      <c r="M145" s="232"/>
      <c r="N145" s="232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6"/>
      <c r="AA145" s="226"/>
      <c r="AB145" s="226"/>
      <c r="AC145" s="226"/>
      <c r="AD145" s="226"/>
      <c r="AE145" s="226"/>
      <c r="AF145" s="226"/>
      <c r="AG145" s="226"/>
      <c r="AH145" s="226"/>
      <c r="AI145" s="226"/>
      <c r="AJ145" s="226"/>
      <c r="AK145" s="226"/>
      <c r="AL145" s="226"/>
      <c r="AM145" s="226"/>
    </row>
    <row r="146" spans="2:39">
      <c r="B146" s="226"/>
      <c r="C146" s="226"/>
      <c r="D146" s="226"/>
      <c r="E146" s="226"/>
      <c r="F146" s="226"/>
      <c r="G146" s="226"/>
      <c r="H146" s="226"/>
      <c r="I146" s="232"/>
      <c r="J146" s="232"/>
      <c r="K146" s="232"/>
      <c r="L146" s="232"/>
      <c r="M146" s="232"/>
      <c r="N146" s="232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</row>
    <row r="147" spans="2:39">
      <c r="B147" s="226"/>
      <c r="C147" s="226"/>
      <c r="D147" s="226"/>
      <c r="E147" s="226"/>
      <c r="F147" s="226"/>
      <c r="G147" s="226"/>
      <c r="H147" s="226"/>
      <c r="I147" s="720"/>
      <c r="J147" s="720"/>
      <c r="K147" s="720"/>
      <c r="L147" s="720"/>
      <c r="M147" s="720"/>
      <c r="N147" s="720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6"/>
      <c r="AA147" s="226"/>
      <c r="AB147" s="226"/>
      <c r="AC147" s="226"/>
      <c r="AD147" s="226"/>
      <c r="AE147" s="226"/>
      <c r="AF147" s="226"/>
      <c r="AG147" s="226"/>
      <c r="AH147" s="226"/>
      <c r="AI147" s="226"/>
      <c r="AJ147" s="226"/>
      <c r="AK147" s="226"/>
      <c r="AL147" s="226"/>
      <c r="AM147" s="226"/>
    </row>
    <row r="148" spans="2:39">
      <c r="B148" s="226"/>
      <c r="C148" s="226"/>
      <c r="D148" s="226"/>
      <c r="E148" s="226"/>
      <c r="F148" s="226"/>
      <c r="G148" s="226"/>
      <c r="H148" s="226"/>
      <c r="I148" s="720"/>
      <c r="J148" s="720"/>
      <c r="K148" s="720"/>
      <c r="L148" s="720"/>
      <c r="M148" s="720"/>
      <c r="N148" s="720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226"/>
      <c r="AG148" s="226"/>
      <c r="AH148" s="226"/>
      <c r="AI148" s="226"/>
      <c r="AJ148" s="226"/>
      <c r="AK148" s="226"/>
      <c r="AL148" s="226"/>
      <c r="AM148" s="226"/>
    </row>
    <row r="156" spans="2:39">
      <c r="B156" s="232"/>
      <c r="C156" s="232"/>
      <c r="D156" s="226"/>
      <c r="E156" s="226"/>
      <c r="F156" s="232"/>
      <c r="G156" s="232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32"/>
      <c r="AB156" s="232"/>
      <c r="AC156" s="232"/>
      <c r="AD156" s="232"/>
      <c r="AE156" s="232"/>
      <c r="AF156" s="232"/>
      <c r="AG156" s="232"/>
      <c r="AH156" s="232"/>
      <c r="AI156" s="232"/>
      <c r="AJ156" s="232"/>
      <c r="AK156" s="232"/>
      <c r="AL156" s="232"/>
      <c r="AM156" s="232"/>
    </row>
    <row r="157" spans="2:39">
      <c r="B157" s="232"/>
      <c r="C157" s="232"/>
      <c r="D157" s="232"/>
      <c r="E157" s="232"/>
      <c r="F157" s="232"/>
      <c r="G157" s="232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32"/>
      <c r="AB157" s="232"/>
      <c r="AC157" s="232"/>
      <c r="AD157" s="232"/>
      <c r="AE157" s="232"/>
      <c r="AF157" s="232"/>
      <c r="AG157" s="232"/>
      <c r="AH157" s="232"/>
      <c r="AI157" s="232"/>
      <c r="AJ157" s="232"/>
      <c r="AK157" s="232"/>
      <c r="AL157" s="232"/>
      <c r="AM157" s="232"/>
    </row>
    <row r="158" spans="2:39">
      <c r="B158" s="232"/>
      <c r="C158" s="232"/>
      <c r="D158" s="232"/>
      <c r="E158" s="232"/>
      <c r="F158" s="232"/>
      <c r="G158" s="232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32"/>
      <c r="AB158" s="232"/>
      <c r="AC158" s="232"/>
      <c r="AD158" s="232"/>
      <c r="AE158" s="232"/>
      <c r="AF158" s="232"/>
      <c r="AG158" s="232"/>
      <c r="AH158" s="232"/>
      <c r="AI158" s="232"/>
      <c r="AJ158" s="232"/>
      <c r="AK158" s="232"/>
      <c r="AL158" s="232"/>
      <c r="AM158" s="232"/>
    </row>
    <row r="159" spans="2:39">
      <c r="B159" s="232"/>
      <c r="C159" s="232"/>
      <c r="D159" s="232"/>
      <c r="E159" s="232"/>
      <c r="F159" s="709"/>
      <c r="G159" s="720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32"/>
      <c r="AB159" s="232"/>
      <c r="AC159" s="232"/>
      <c r="AD159" s="232"/>
      <c r="AE159" s="232"/>
      <c r="AF159" s="232"/>
      <c r="AG159" s="232"/>
      <c r="AH159" s="232"/>
      <c r="AI159" s="232"/>
      <c r="AJ159" s="232"/>
      <c r="AK159" s="232"/>
      <c r="AL159" s="232"/>
      <c r="AM159" s="232"/>
    </row>
    <row r="160" spans="2:39">
      <c r="B160" s="232"/>
      <c r="C160" s="232"/>
      <c r="D160" s="721"/>
      <c r="E160" s="50"/>
      <c r="F160" s="709"/>
      <c r="G160" s="720"/>
      <c r="H160" s="226"/>
      <c r="I160" s="226"/>
      <c r="J160" s="226"/>
      <c r="K160" s="226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6"/>
      <c r="AA160" s="232"/>
      <c r="AB160" s="232"/>
      <c r="AC160" s="232"/>
      <c r="AD160" s="232"/>
      <c r="AE160" s="232"/>
      <c r="AF160" s="232"/>
      <c r="AG160" s="232"/>
      <c r="AH160" s="232"/>
      <c r="AI160" s="232"/>
      <c r="AJ160" s="232"/>
      <c r="AK160" s="232"/>
      <c r="AL160" s="232"/>
      <c r="AM160" s="232"/>
    </row>
    <row r="161" spans="2:44">
      <c r="B161" s="226"/>
      <c r="C161" s="226"/>
      <c r="D161" s="721"/>
      <c r="E161" s="50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  <c r="AD161" s="226"/>
      <c r="AE161" s="226"/>
      <c r="AF161" s="226"/>
      <c r="AG161" s="226"/>
      <c r="AH161" s="226"/>
      <c r="AI161" s="226"/>
      <c r="AJ161" s="226"/>
      <c r="AK161" s="226"/>
      <c r="AL161" s="226"/>
      <c r="AM161" s="226"/>
      <c r="AN161" s="226"/>
      <c r="AO161" s="226"/>
      <c r="AP161" s="226"/>
      <c r="AQ161" s="226"/>
      <c r="AR161" s="226"/>
    </row>
    <row r="162" spans="2:44">
      <c r="B162" s="226"/>
      <c r="C162" s="226"/>
      <c r="D162" s="226"/>
      <c r="E162" s="226"/>
      <c r="F162" s="226"/>
      <c r="G162" s="226"/>
      <c r="H162" s="226"/>
      <c r="I162" s="226"/>
      <c r="J162" s="226"/>
      <c r="K162" s="226"/>
      <c r="L162" s="226"/>
      <c r="M162" s="226"/>
      <c r="N162" s="226"/>
      <c r="O162" s="226"/>
      <c r="P162" s="232"/>
      <c r="Q162" s="232"/>
      <c r="R162" s="232"/>
      <c r="S162" s="232"/>
      <c r="T162" s="232"/>
      <c r="U162" s="232"/>
      <c r="V162" s="232"/>
      <c r="W162" s="232"/>
      <c r="X162" s="232"/>
      <c r="Y162" s="226"/>
      <c r="Z162" s="232"/>
      <c r="AA162" s="226"/>
      <c r="AB162" s="226"/>
      <c r="AC162" s="226"/>
      <c r="AD162" s="226"/>
      <c r="AE162" s="226"/>
      <c r="AF162" s="226"/>
      <c r="AG162" s="226"/>
      <c r="AH162" s="226"/>
      <c r="AI162" s="226"/>
      <c r="AJ162" s="226"/>
      <c r="AK162" s="226"/>
      <c r="AL162" s="226"/>
      <c r="AM162" s="226"/>
      <c r="AN162" s="226"/>
      <c r="AO162" s="226"/>
      <c r="AP162" s="226"/>
      <c r="AQ162" s="226"/>
      <c r="AR162" s="226"/>
    </row>
    <row r="163" spans="2:44" s="126" customFormat="1">
      <c r="B163" s="226"/>
      <c r="C163" s="226"/>
      <c r="D163" s="226"/>
      <c r="E163" s="226"/>
      <c r="F163" s="226"/>
      <c r="G163" s="226"/>
      <c r="H163" s="232"/>
      <c r="I163" s="226"/>
      <c r="J163" s="226"/>
      <c r="K163" s="226"/>
      <c r="L163" s="226"/>
      <c r="M163" s="226"/>
      <c r="N163" s="226"/>
      <c r="O163" s="232"/>
      <c r="P163" s="232"/>
      <c r="Q163" s="232"/>
      <c r="R163" s="232"/>
      <c r="S163" s="232"/>
      <c r="T163" s="232"/>
      <c r="U163" s="232"/>
      <c r="V163" s="232"/>
      <c r="W163" s="232"/>
      <c r="X163" s="232"/>
      <c r="Y163" s="232"/>
      <c r="Z163" s="232"/>
      <c r="AA163" s="226"/>
      <c r="AB163" s="226"/>
      <c r="AC163" s="226"/>
      <c r="AD163" s="226"/>
      <c r="AE163" s="226"/>
      <c r="AF163" s="226"/>
      <c r="AG163" s="226"/>
      <c r="AH163" s="226"/>
      <c r="AI163" s="226"/>
      <c r="AJ163" s="226"/>
      <c r="AK163" s="226"/>
      <c r="AL163" s="226"/>
      <c r="AM163" s="226"/>
      <c r="AN163" s="232"/>
      <c r="AO163" s="232"/>
      <c r="AP163" s="232"/>
      <c r="AQ163" s="232"/>
      <c r="AR163" s="232"/>
    </row>
    <row r="164" spans="2:44" s="126" customFormat="1">
      <c r="B164" s="226"/>
      <c r="C164" s="226"/>
      <c r="D164" s="226"/>
      <c r="E164" s="226"/>
      <c r="F164" s="226"/>
      <c r="G164" s="226"/>
      <c r="H164" s="232"/>
      <c r="I164" s="226"/>
      <c r="J164" s="226"/>
      <c r="K164" s="226"/>
      <c r="L164" s="226"/>
      <c r="M164" s="226"/>
      <c r="N164" s="226"/>
      <c r="O164" s="232"/>
      <c r="P164" s="232"/>
      <c r="Q164" s="232"/>
      <c r="R164" s="232"/>
      <c r="S164" s="232"/>
      <c r="T164" s="232"/>
      <c r="U164" s="232"/>
      <c r="V164" s="232"/>
      <c r="W164" s="232"/>
      <c r="X164" s="232"/>
      <c r="Y164" s="232"/>
      <c r="Z164" s="232"/>
      <c r="AA164" s="226"/>
      <c r="AB164" s="226"/>
      <c r="AC164" s="226"/>
      <c r="AD164" s="226"/>
      <c r="AE164" s="226"/>
      <c r="AF164" s="226"/>
      <c r="AG164" s="226"/>
      <c r="AH164" s="226"/>
      <c r="AI164" s="226"/>
      <c r="AJ164" s="226"/>
      <c r="AK164" s="226"/>
      <c r="AL164" s="226"/>
      <c r="AM164" s="226"/>
      <c r="AN164" s="232"/>
      <c r="AO164" s="232"/>
      <c r="AP164" s="232"/>
      <c r="AQ164" s="232"/>
      <c r="AR164" s="232"/>
    </row>
    <row r="165" spans="2:44" s="126" customFormat="1">
      <c r="B165" s="226"/>
      <c r="C165" s="226"/>
      <c r="D165" s="226"/>
      <c r="E165" s="226"/>
      <c r="F165" s="226"/>
      <c r="G165" s="226"/>
      <c r="H165" s="232"/>
      <c r="I165" s="226"/>
      <c r="J165" s="226"/>
      <c r="K165" s="226"/>
      <c r="L165" s="226"/>
      <c r="M165" s="226"/>
      <c r="N165" s="226"/>
      <c r="O165" s="232"/>
      <c r="P165" s="232"/>
      <c r="Q165" s="232"/>
      <c r="R165" s="232"/>
      <c r="S165" s="232"/>
      <c r="T165" s="232"/>
      <c r="U165" s="232"/>
      <c r="V165" s="232"/>
      <c r="W165" s="232"/>
      <c r="X165" s="232"/>
      <c r="Y165" s="232"/>
      <c r="Z165" s="232"/>
      <c r="AA165" s="226"/>
      <c r="AB165" s="226"/>
      <c r="AC165" s="226"/>
      <c r="AD165" s="226"/>
      <c r="AE165" s="226"/>
      <c r="AF165" s="226"/>
      <c r="AG165" s="226"/>
      <c r="AH165" s="226"/>
      <c r="AI165" s="226"/>
      <c r="AJ165" s="226"/>
      <c r="AK165" s="226"/>
      <c r="AL165" s="226"/>
      <c r="AM165" s="226"/>
      <c r="AN165" s="232"/>
      <c r="AO165" s="232"/>
      <c r="AP165" s="232"/>
      <c r="AQ165" s="232"/>
      <c r="AR165" s="232"/>
    </row>
    <row r="166" spans="2:44" s="126" customFormat="1">
      <c r="B166" s="226"/>
      <c r="C166" s="226"/>
      <c r="D166" s="226"/>
      <c r="E166" s="226"/>
      <c r="F166" s="226"/>
      <c r="G166" s="226"/>
      <c r="H166" s="720"/>
      <c r="I166" s="226"/>
      <c r="J166" s="226"/>
      <c r="K166" s="226"/>
      <c r="L166" s="226"/>
      <c r="M166" s="226"/>
      <c r="N166" s="226"/>
      <c r="O166" s="720"/>
      <c r="P166" s="232"/>
      <c r="Q166" s="232"/>
      <c r="R166" s="232"/>
      <c r="S166" s="232"/>
      <c r="T166" s="232"/>
      <c r="U166" s="232"/>
      <c r="V166" s="232"/>
      <c r="W166" s="232"/>
      <c r="X166" s="232"/>
      <c r="Y166" s="232"/>
      <c r="Z166" s="232"/>
      <c r="AA166" s="226"/>
      <c r="AB166" s="226"/>
      <c r="AC166" s="226"/>
      <c r="AD166" s="226"/>
      <c r="AE166" s="226"/>
      <c r="AF166" s="226"/>
      <c r="AG166" s="226"/>
      <c r="AH166" s="226"/>
      <c r="AI166" s="226"/>
      <c r="AJ166" s="226"/>
      <c r="AK166" s="226"/>
      <c r="AL166" s="226"/>
      <c r="AM166" s="226"/>
      <c r="AN166" s="232"/>
      <c r="AO166" s="232"/>
      <c r="AP166" s="232"/>
      <c r="AQ166" s="226"/>
      <c r="AR166" s="226"/>
    </row>
    <row r="167" spans="2:44" s="126" customFormat="1">
      <c r="B167" s="226"/>
      <c r="C167" s="226"/>
      <c r="D167" s="226"/>
      <c r="E167" s="226"/>
      <c r="F167" s="226"/>
      <c r="G167" s="226"/>
      <c r="H167" s="720"/>
      <c r="I167" s="226"/>
      <c r="J167" s="226"/>
      <c r="K167" s="226"/>
      <c r="L167" s="226"/>
      <c r="M167" s="226"/>
      <c r="N167" s="226"/>
      <c r="O167" s="720"/>
      <c r="P167" s="226"/>
      <c r="Q167" s="226"/>
      <c r="R167" s="226"/>
      <c r="S167" s="226"/>
      <c r="T167" s="226"/>
      <c r="U167" s="226"/>
      <c r="V167" s="226"/>
      <c r="W167" s="226"/>
      <c r="X167" s="226"/>
      <c r="Y167" s="232"/>
      <c r="Z167" s="226"/>
      <c r="AA167" s="226"/>
      <c r="AB167" s="226"/>
      <c r="AC167" s="226"/>
      <c r="AD167" s="226"/>
      <c r="AE167" s="226"/>
      <c r="AF167" s="226"/>
      <c r="AG167" s="226"/>
      <c r="AH167" s="226"/>
      <c r="AI167" s="226"/>
      <c r="AJ167" s="226"/>
      <c r="AK167" s="226"/>
      <c r="AL167" s="226"/>
      <c r="AM167" s="226"/>
      <c r="AN167" s="232"/>
      <c r="AO167" s="232"/>
      <c r="AP167" s="232"/>
      <c r="AQ167" s="226"/>
      <c r="AR167" s="226"/>
    </row>
  </sheetData>
  <pageMargins left="0.7" right="0.7" top="0.75" bottom="0.75" header="0.3" footer="0.3"/>
  <pageSetup scale="52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59999389629810485"/>
    <pageSetUpPr fitToPage="1"/>
  </sheetPr>
  <dimension ref="B2:BT167"/>
  <sheetViews>
    <sheetView zoomScale="70" zoomScaleNormal="70" workbookViewId="0">
      <selection activeCell="K11" sqref="K4:K11"/>
    </sheetView>
  </sheetViews>
  <sheetFormatPr defaultColWidth="9" defaultRowHeight="15"/>
  <cols>
    <col min="1" max="1" width="3.625" style="106" customWidth="1"/>
    <col min="2" max="3" width="3" style="106" customWidth="1"/>
    <col min="4" max="4" width="3.5" style="106" bestFit="1" customWidth="1"/>
    <col min="5" max="5" width="87.625" style="106" customWidth="1"/>
    <col min="6" max="7" width="3" style="106" customWidth="1"/>
    <col min="8" max="8" width="3.375" style="106" customWidth="1"/>
    <col min="9" max="10" width="3.625" style="106" customWidth="1"/>
    <col min="11" max="11" width="11.875" style="106" bestFit="1" customWidth="1"/>
    <col min="12" max="12" width="76.875" style="106" customWidth="1"/>
    <col min="13" max="14" width="3.625" style="106" customWidth="1"/>
    <col min="15" max="15" width="3.375" style="106" customWidth="1"/>
    <col min="16" max="17" width="3.625" style="106" customWidth="1"/>
    <col min="18" max="21" width="9.625" style="106" customWidth="1"/>
    <col min="22" max="22" width="10.875" style="106" customWidth="1"/>
    <col min="23" max="26" width="3.625" style="106" customWidth="1"/>
    <col min="27" max="27" width="4" style="106" customWidth="1"/>
    <col min="28" max="28" width="9.25" style="106" bestFit="1" customWidth="1"/>
    <col min="29" max="29" width="11.25" style="106" bestFit="1" customWidth="1"/>
    <col min="30" max="30" width="9.25" style="106" bestFit="1" customWidth="1"/>
    <col min="31" max="31" width="8.125" style="106" bestFit="1" customWidth="1"/>
    <col min="32" max="32" width="10.875" style="106" bestFit="1" customWidth="1"/>
    <col min="33" max="33" width="11.375" style="106" bestFit="1" customWidth="1"/>
    <col min="34" max="34" width="8.375" style="106" bestFit="1" customWidth="1"/>
    <col min="35" max="35" width="10.25" style="106" bestFit="1" customWidth="1"/>
    <col min="36" max="36" width="8.75" style="106" bestFit="1" customWidth="1"/>
    <col min="37" max="37" width="9.375" style="106" bestFit="1" customWidth="1"/>
    <col min="38" max="41" width="3.625" style="106" customWidth="1"/>
    <col min="42" max="42" width="3" style="106" customWidth="1"/>
    <col min="43" max="46" width="10" style="106" customWidth="1"/>
    <col min="47" max="47" width="3" style="106" customWidth="1"/>
    <col min="48" max="48" width="3.625" style="106" customWidth="1"/>
    <col min="49" max="16384" width="9" style="106"/>
  </cols>
  <sheetData>
    <row r="2" spans="2:48">
      <c r="B2" s="46" t="s">
        <v>252</v>
      </c>
      <c r="C2" s="46"/>
      <c r="D2" s="229"/>
      <c r="E2" s="229"/>
      <c r="F2" s="229"/>
      <c r="G2" s="229"/>
      <c r="H2" s="226"/>
      <c r="I2" s="46" t="s">
        <v>253</v>
      </c>
      <c r="J2" s="229"/>
      <c r="K2" s="229"/>
      <c r="L2" s="229"/>
      <c r="M2" s="229"/>
      <c r="N2" s="229"/>
      <c r="O2" s="226"/>
      <c r="P2" s="46" t="str">
        <f>"Forecast Retail EI Sales for "&amp;EI_Customers_Annual_aMW&amp;" aMW at $"&amp;ROUND(RS17b_Average_Depart,2)&amp;" per MWh"</f>
        <v>Forecast Retail EI Sales for 23.3445 aMW at $48.89 per MWh</v>
      </c>
      <c r="Q2" s="229"/>
      <c r="R2" s="229"/>
      <c r="S2" s="229"/>
      <c r="T2" s="229"/>
      <c r="U2" s="229"/>
      <c r="V2" s="229"/>
      <c r="W2" s="229"/>
      <c r="X2" s="229"/>
      <c r="Y2" s="226"/>
      <c r="Z2" s="169" t="s">
        <v>254</v>
      </c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226"/>
      <c r="AO2" s="89" t="s">
        <v>255</v>
      </c>
      <c r="AP2" s="653"/>
      <c r="AQ2" s="653"/>
      <c r="AR2" s="653"/>
      <c r="AS2" s="653"/>
      <c r="AT2" s="653"/>
      <c r="AU2" s="653"/>
      <c r="AV2" s="653"/>
    </row>
    <row r="3" spans="2:48">
      <c r="B3" s="240"/>
      <c r="C3" s="226"/>
      <c r="D3" s="226"/>
      <c r="E3" s="226"/>
      <c r="F3" s="654"/>
      <c r="G3" s="240"/>
      <c r="H3" s="226"/>
      <c r="I3" s="240"/>
      <c r="J3" s="226"/>
      <c r="K3" s="226"/>
      <c r="L3" s="226"/>
      <c r="M3" s="226"/>
      <c r="N3" s="240"/>
      <c r="O3" s="226"/>
      <c r="P3" s="655"/>
      <c r="Q3" s="226"/>
      <c r="R3" s="226"/>
      <c r="S3" s="226"/>
      <c r="T3" s="226"/>
      <c r="U3" s="226"/>
      <c r="V3" s="226"/>
      <c r="W3" s="226"/>
      <c r="X3" s="240"/>
      <c r="Y3" s="226"/>
      <c r="Z3" s="655"/>
      <c r="AA3" s="226"/>
      <c r="AB3" s="226"/>
      <c r="AC3" s="226"/>
      <c r="AD3" s="226"/>
      <c r="AE3" s="226"/>
      <c r="AF3" s="226"/>
      <c r="AG3" s="226"/>
      <c r="AH3" s="226"/>
      <c r="AI3" s="226"/>
      <c r="AJ3" s="226"/>
      <c r="AK3" s="226"/>
      <c r="AL3" s="226"/>
      <c r="AM3" s="240"/>
      <c r="AN3" s="226"/>
      <c r="AO3" s="656"/>
      <c r="AP3" s="657"/>
      <c r="AQ3" s="657"/>
      <c r="AR3" s="657"/>
      <c r="AS3" s="657"/>
      <c r="AT3" s="657"/>
      <c r="AU3" s="657"/>
      <c r="AV3" s="656"/>
    </row>
    <row r="4" spans="2:48">
      <c r="B4" s="240"/>
      <c r="C4" s="226"/>
      <c r="D4" s="236" t="s">
        <v>256</v>
      </c>
      <c r="E4" s="238"/>
      <c r="F4" s="232"/>
      <c r="G4" s="240"/>
      <c r="H4" s="226"/>
      <c r="I4" s="240"/>
      <c r="J4" s="226"/>
      <c r="K4" s="190">
        <f>'[4]Summary Info'!$X$8/1000</f>
        <v>23.3445</v>
      </c>
      <c r="L4" s="249" t="s">
        <v>257</v>
      </c>
      <c r="M4" s="226"/>
      <c r="N4" s="240"/>
      <c r="O4" s="226"/>
      <c r="P4" s="655"/>
      <c r="Q4" s="226"/>
      <c r="R4" s="290" t="s">
        <v>258</v>
      </c>
      <c r="S4" s="658" t="s">
        <v>76</v>
      </c>
      <c r="T4" s="659"/>
      <c r="U4" s="659"/>
      <c r="V4" s="659"/>
      <c r="W4" s="226"/>
      <c r="X4" s="240"/>
      <c r="Y4" s="226"/>
      <c r="Z4" s="240"/>
      <c r="AA4" s="226"/>
      <c r="AB4" s="660" t="s">
        <v>258</v>
      </c>
      <c r="AC4" s="661" t="s">
        <v>259</v>
      </c>
      <c r="AD4" s="238"/>
      <c r="AE4" s="237" t="s">
        <v>260</v>
      </c>
      <c r="AF4" s="238"/>
      <c r="AG4" s="662" t="s">
        <v>261</v>
      </c>
      <c r="AH4" s="236" t="s">
        <v>262</v>
      </c>
      <c r="AI4" s="238"/>
      <c r="AJ4" s="236" t="s">
        <v>263</v>
      </c>
      <c r="AK4" s="238"/>
      <c r="AL4" s="226"/>
      <c r="AM4" s="240"/>
      <c r="AN4" s="226"/>
      <c r="AO4" s="656"/>
      <c r="AP4" s="657"/>
      <c r="AQ4" s="663"/>
      <c r="AR4" s="664" t="s">
        <v>76</v>
      </c>
      <c r="AS4" s="665"/>
      <c r="AT4" s="664" t="s">
        <v>264</v>
      </c>
      <c r="AU4" s="657"/>
      <c r="AV4" s="656"/>
    </row>
    <row r="5" spans="2:48">
      <c r="B5" s="240"/>
      <c r="C5" s="226"/>
      <c r="D5" s="666" t="s">
        <v>265</v>
      </c>
      <c r="E5" s="166" t="s">
        <v>266</v>
      </c>
      <c r="F5" s="232"/>
      <c r="G5" s="240"/>
      <c r="H5" s="226"/>
      <c r="I5" s="240"/>
      <c r="J5" s="226"/>
      <c r="K5" s="173">
        <v>48.885326034028814</v>
      </c>
      <c r="L5" s="92" t="s">
        <v>267</v>
      </c>
      <c r="M5" s="226"/>
      <c r="N5" s="240"/>
      <c r="O5" s="226"/>
      <c r="P5" s="655"/>
      <c r="Q5" s="226"/>
      <c r="R5" s="295"/>
      <c r="S5" s="295" t="s">
        <v>268</v>
      </c>
      <c r="T5" s="295" t="s">
        <v>269</v>
      </c>
      <c r="U5" s="295" t="s">
        <v>270</v>
      </c>
      <c r="V5" s="667" t="s">
        <v>271</v>
      </c>
      <c r="W5" s="226"/>
      <c r="X5" s="240"/>
      <c r="Y5" s="226"/>
      <c r="Z5" s="240"/>
      <c r="AA5" s="226"/>
      <c r="AB5" s="604"/>
      <c r="AC5" s="295" t="s">
        <v>272</v>
      </c>
      <c r="AD5" s="295" t="s">
        <v>270</v>
      </c>
      <c r="AE5" s="242" t="s">
        <v>273</v>
      </c>
      <c r="AF5" s="242" t="s">
        <v>274</v>
      </c>
      <c r="AG5" s="622" t="s">
        <v>275</v>
      </c>
      <c r="AH5" s="622" t="s">
        <v>276</v>
      </c>
      <c r="AI5" s="622" t="s">
        <v>277</v>
      </c>
      <c r="AJ5" s="622" t="s">
        <v>270</v>
      </c>
      <c r="AK5" s="622" t="s">
        <v>81</v>
      </c>
      <c r="AL5" s="226"/>
      <c r="AM5" s="240"/>
      <c r="AN5" s="226"/>
      <c r="AO5" s="656"/>
      <c r="AP5" s="657"/>
      <c r="AQ5" s="668" t="s">
        <v>258</v>
      </c>
      <c r="AR5" s="669" t="s">
        <v>278</v>
      </c>
      <c r="AS5" s="670" t="s">
        <v>76</v>
      </c>
      <c r="AT5" s="669" t="s">
        <v>279</v>
      </c>
      <c r="AU5" s="657"/>
      <c r="AV5" s="656"/>
    </row>
    <row r="6" spans="2:48">
      <c r="B6" s="240"/>
      <c r="C6" s="226"/>
      <c r="D6" s="671" t="s">
        <v>280</v>
      </c>
      <c r="E6" s="164" t="s">
        <v>281</v>
      </c>
      <c r="F6" s="232"/>
      <c r="G6" s="240"/>
      <c r="H6" s="226"/>
      <c r="I6" s="240"/>
      <c r="J6" s="226"/>
      <c r="K6" s="672">
        <f>RS17b_Average*1000</f>
        <v>48.884999999999998</v>
      </c>
      <c r="L6" s="92" t="s">
        <v>282</v>
      </c>
      <c r="M6" s="226"/>
      <c r="N6" s="240"/>
      <c r="O6" s="226"/>
      <c r="P6" s="655"/>
      <c r="Q6" s="226"/>
      <c r="R6" s="97">
        <v>43831</v>
      </c>
      <c r="S6" s="98">
        <f>R7-R6</f>
        <v>31</v>
      </c>
      <c r="T6" s="98">
        <f>S6*24</f>
        <v>744</v>
      </c>
      <c r="U6" s="98">
        <f t="shared" ref="U6:U17" si="0">EI_Customers_Annual_aMW*T6</f>
        <v>17368.308000000001</v>
      </c>
      <c r="V6" s="673">
        <f>U6*RS17b_Average_Depart</f>
        <v>849055.39923943102</v>
      </c>
      <c r="W6" s="226"/>
      <c r="X6" s="240"/>
      <c r="Y6" s="226"/>
      <c r="Z6" s="240"/>
      <c r="AA6" s="226"/>
      <c r="AB6" s="97">
        <f>R6</f>
        <v>43831</v>
      </c>
      <c r="AC6" s="98">
        <f>SUM(V6:$V$17)</f>
        <v>10024331.487794572</v>
      </c>
      <c r="AD6" s="98">
        <f>SUM(U6:$U$17)</f>
        <v>205058.08800000002</v>
      </c>
      <c r="AE6" s="674">
        <f>AT7</f>
        <v>27.912063978944541</v>
      </c>
      <c r="AF6" s="98">
        <f>AE6*AD6</f>
        <v>5723594.4716560403</v>
      </c>
      <c r="AG6" s="98">
        <f>AF6-AC6</f>
        <v>-4300737.0161385322</v>
      </c>
      <c r="AH6" s="101">
        <v>2.5000000000000001E-3</v>
      </c>
      <c r="AI6" s="675">
        <f>SUM($AH$6:AH6)</f>
        <v>2.5000000000000001E-3</v>
      </c>
      <c r="AJ6" s="98">
        <f>-AH6*AD6</f>
        <v>-512.64522000000011</v>
      </c>
      <c r="AK6" s="98">
        <f>AG6*AH6</f>
        <v>-10751.842540346332</v>
      </c>
      <c r="AL6" s="226"/>
      <c r="AM6" s="240"/>
      <c r="AN6" s="226"/>
      <c r="AO6" s="656"/>
      <c r="AP6" s="657"/>
      <c r="AQ6" s="676"/>
      <c r="AR6" s="677" t="s">
        <v>237</v>
      </c>
      <c r="AS6" s="678" t="s">
        <v>269</v>
      </c>
      <c r="AT6" s="677" t="s">
        <v>237</v>
      </c>
      <c r="AU6" s="657"/>
      <c r="AV6" s="656"/>
    </row>
    <row r="7" spans="2:48">
      <c r="B7" s="240"/>
      <c r="C7" s="226"/>
      <c r="D7" s="671" t="s">
        <v>283</v>
      </c>
      <c r="E7" s="164" t="s">
        <v>284</v>
      </c>
      <c r="F7" s="232"/>
      <c r="G7" s="240"/>
      <c r="H7" s="226"/>
      <c r="I7" s="240"/>
      <c r="J7" s="226"/>
      <c r="K7" s="679">
        <f>K5-K6</f>
        <v>3.260340288164798E-4</v>
      </c>
      <c r="L7" s="258" t="s">
        <v>285</v>
      </c>
      <c r="M7" s="226"/>
      <c r="N7" s="240"/>
      <c r="O7" s="226"/>
      <c r="P7" s="655"/>
      <c r="Q7" s="226"/>
      <c r="R7" s="99">
        <v>43862</v>
      </c>
      <c r="S7" s="100">
        <f t="shared" ref="S7:S16" si="1">R8-R7</f>
        <v>29</v>
      </c>
      <c r="T7" s="100">
        <f t="shared" ref="T7:T17" si="2">S7*24</f>
        <v>696</v>
      </c>
      <c r="U7" s="100">
        <f t="shared" si="0"/>
        <v>16247.772000000001</v>
      </c>
      <c r="V7" s="680">
        <f t="shared" ref="V7:V17" si="3">U7*RS17b_Average_Depart</f>
        <v>794277.63154656452</v>
      </c>
      <c r="W7" s="226"/>
      <c r="X7" s="240"/>
      <c r="Y7" s="226"/>
      <c r="Z7" s="240"/>
      <c r="AA7" s="226"/>
      <c r="AB7" s="99">
        <f t="shared" ref="AB7:AB17" si="4">R7</f>
        <v>43862</v>
      </c>
      <c r="AC7" s="100">
        <f>SUM(V7:$V$17)</f>
        <v>9175276.0885551404</v>
      </c>
      <c r="AD7" s="100">
        <f>SUM(U7:$U$17)</f>
        <v>187689.78</v>
      </c>
      <c r="AE7" s="681">
        <f t="shared" ref="AE7:AE17" si="5">AT8</f>
        <v>28.129686929764215</v>
      </c>
      <c r="AF7" s="100">
        <f>AE7*AD7</f>
        <v>5279654.7513163211</v>
      </c>
      <c r="AG7" s="100">
        <f t="shared" ref="AG7:AG17" si="6">AF7-AC7</f>
        <v>-3895621.3372388193</v>
      </c>
      <c r="AH7" s="102">
        <v>2.18E-2</v>
      </c>
      <c r="AI7" s="682">
        <f>SUM($AH$6:AH7)</f>
        <v>2.4299999999999999E-2</v>
      </c>
      <c r="AJ7" s="100">
        <f t="shared" ref="AJ7:AJ17" si="7">-AH7*AD7</f>
        <v>-4091.6372040000001</v>
      </c>
      <c r="AK7" s="100">
        <f>AG7*AH7</f>
        <v>-84924.545151806262</v>
      </c>
      <c r="AL7" s="226"/>
      <c r="AM7" s="240"/>
      <c r="AN7" s="226"/>
      <c r="AO7" s="656"/>
      <c r="AP7" s="657"/>
      <c r="AQ7" s="683">
        <v>43831</v>
      </c>
      <c r="AR7" s="684">
        <v>34.666129032258063</v>
      </c>
      <c r="AS7" s="685">
        <v>744</v>
      </c>
      <c r="AT7" s="684">
        <f>SUMPRODUCT(AR7:AR18,AS7:AS18)/SUM(AS7:AS18)</f>
        <v>27.912063978944541</v>
      </c>
      <c r="AU7" s="657"/>
      <c r="AV7" s="656"/>
    </row>
    <row r="8" spans="2:48">
      <c r="B8" s="240"/>
      <c r="C8" s="226"/>
      <c r="D8" s="671" t="s">
        <v>286</v>
      </c>
      <c r="E8" s="164" t="s">
        <v>287</v>
      </c>
      <c r="F8" s="232"/>
      <c r="G8" s="240"/>
      <c r="H8" s="226"/>
      <c r="I8" s="240"/>
      <c r="J8" s="226"/>
      <c r="K8" s="679"/>
      <c r="L8" s="258"/>
      <c r="M8" s="226"/>
      <c r="N8" s="240"/>
      <c r="O8" s="226"/>
      <c r="P8" s="655"/>
      <c r="Q8" s="226"/>
      <c r="R8" s="99">
        <v>43891</v>
      </c>
      <c r="S8" s="100">
        <f t="shared" si="1"/>
        <v>31</v>
      </c>
      <c r="T8" s="100">
        <f t="shared" si="2"/>
        <v>744</v>
      </c>
      <c r="U8" s="100">
        <f t="shared" si="0"/>
        <v>17368.308000000001</v>
      </c>
      <c r="V8" s="680">
        <f t="shared" si="3"/>
        <v>849055.39923943102</v>
      </c>
      <c r="W8" s="226"/>
      <c r="X8" s="240"/>
      <c r="Y8" s="226"/>
      <c r="Z8" s="240"/>
      <c r="AA8" s="226"/>
      <c r="AB8" s="99">
        <f t="shared" si="4"/>
        <v>43891</v>
      </c>
      <c r="AC8" s="100">
        <f>SUM(V8:$V$17)</f>
        <v>8380998.457008577</v>
      </c>
      <c r="AD8" s="100">
        <f>SUM(U8:$U$17)</f>
        <v>171442.008</v>
      </c>
      <c r="AE8" s="681">
        <f t="shared" si="5"/>
        <v>28.716937213590054</v>
      </c>
      <c r="AF8" s="100">
        <f t="shared" ref="AF8:AF17" si="8">AE8*AD8</f>
        <v>4923289.3795078034</v>
      </c>
      <c r="AG8" s="100">
        <f t="shared" si="6"/>
        <v>-3457709.0775007736</v>
      </c>
      <c r="AH8" s="102">
        <v>2.6800000000000001E-2</v>
      </c>
      <c r="AI8" s="682">
        <f>SUM($AH$6:AH8)</f>
        <v>5.11E-2</v>
      </c>
      <c r="AJ8" s="100">
        <f t="shared" si="7"/>
        <v>-4594.6458143999998</v>
      </c>
      <c r="AK8" s="100">
        <f t="shared" ref="AK8:AK17" si="9">AG8*AH8</f>
        <v>-92666.603277020738</v>
      </c>
      <c r="AL8" s="226"/>
      <c r="AM8" s="240"/>
      <c r="AN8" s="226"/>
      <c r="AO8" s="656"/>
      <c r="AP8" s="657"/>
      <c r="AQ8" s="686">
        <v>43862</v>
      </c>
      <c r="AR8" s="687">
        <v>28.916666666666668</v>
      </c>
      <c r="AS8" s="688">
        <v>696</v>
      </c>
      <c r="AT8" s="687">
        <f>SUMPRODUCT(AR8:AR19,AS8:AS19)/SUM(AS8:AS19)</f>
        <v>28.129686929764215</v>
      </c>
      <c r="AU8" s="657"/>
      <c r="AV8" s="656"/>
    </row>
    <row r="9" spans="2:48">
      <c r="B9" s="240"/>
      <c r="C9" s="226"/>
      <c r="D9" s="671" t="s">
        <v>288</v>
      </c>
      <c r="E9" s="689" t="s">
        <v>289</v>
      </c>
      <c r="F9" s="232"/>
      <c r="G9" s="240"/>
      <c r="H9" s="226"/>
      <c r="I9" s="240"/>
      <c r="J9" s="226"/>
      <c r="K9" s="174">
        <f>Expected_12_Month_Loss_17b</f>
        <v>-674240.59360730893</v>
      </c>
      <c r="L9" s="258" t="s">
        <v>290</v>
      </c>
      <c r="M9" s="226"/>
      <c r="N9" s="240"/>
      <c r="O9" s="226"/>
      <c r="P9" s="655"/>
      <c r="Q9" s="226"/>
      <c r="R9" s="90">
        <v>43922</v>
      </c>
      <c r="S9" s="93">
        <f t="shared" si="1"/>
        <v>30</v>
      </c>
      <c r="T9" s="93">
        <f t="shared" si="2"/>
        <v>720</v>
      </c>
      <c r="U9" s="93">
        <f>EI_Customers_Annual_aMW*T9</f>
        <v>16808.04</v>
      </c>
      <c r="V9" s="690">
        <f t="shared" si="3"/>
        <v>821666.51539299777</v>
      </c>
      <c r="W9" s="226"/>
      <c r="X9" s="240"/>
      <c r="Y9" s="226"/>
      <c r="Z9" s="240"/>
      <c r="AA9" s="226"/>
      <c r="AB9" s="90">
        <f t="shared" si="4"/>
        <v>43922</v>
      </c>
      <c r="AC9" s="93">
        <f>SUM(V9:$V$17)</f>
        <v>7531943.0577691467</v>
      </c>
      <c r="AD9" s="93">
        <f>SUM(U9:$U$17)</f>
        <v>154073.69999999998</v>
      </c>
      <c r="AE9" s="679">
        <f t="shared" si="5"/>
        <v>29.437690899086537</v>
      </c>
      <c r="AF9" s="93">
        <f t="shared" si="8"/>
        <v>4535573.9562785886</v>
      </c>
      <c r="AG9" s="93">
        <f t="shared" si="6"/>
        <v>-2996369.1014905581</v>
      </c>
      <c r="AH9" s="103">
        <v>2.87E-2</v>
      </c>
      <c r="AI9" s="691">
        <f>SUM($AH$6:AH9)</f>
        <v>7.9799999999999996E-2</v>
      </c>
      <c r="AJ9" s="93">
        <f t="shared" si="7"/>
        <v>-4421.9151899999997</v>
      </c>
      <c r="AK9" s="93">
        <f t="shared" si="9"/>
        <v>-85995.793212779012</v>
      </c>
      <c r="AL9" s="226"/>
      <c r="AM9" s="240"/>
      <c r="AN9" s="226"/>
      <c r="AO9" s="656"/>
      <c r="AP9" s="657"/>
      <c r="AQ9" s="686">
        <v>43891</v>
      </c>
      <c r="AR9" s="687">
        <v>19.603024193548389</v>
      </c>
      <c r="AS9" s="688">
        <v>743</v>
      </c>
      <c r="AT9" s="687">
        <f t="shared" ref="AT9:AT17" si="10">SUMPRODUCT(AR9:AR20,AS9:AS20)/SUM(AS9:AS20)</f>
        <v>28.716937213590054</v>
      </c>
      <c r="AU9" s="657"/>
      <c r="AV9" s="656"/>
    </row>
    <row r="10" spans="2:48">
      <c r="B10" s="240"/>
      <c r="C10" s="226"/>
      <c r="D10" s="671" t="s">
        <v>291</v>
      </c>
      <c r="E10" s="689" t="s">
        <v>292</v>
      </c>
      <c r="F10" s="232"/>
      <c r="G10" s="240"/>
      <c r="H10" s="226"/>
      <c r="I10" s="240"/>
      <c r="J10" s="226"/>
      <c r="K10" s="93">
        <f>Forecast_Retail_MWh_17b+Expected_12_Month_MWh_Loss_17b</f>
        <v>170152.43914440001</v>
      </c>
      <c r="L10" s="258" t="s">
        <v>293</v>
      </c>
      <c r="M10" s="226"/>
      <c r="N10" s="240"/>
      <c r="O10" s="226"/>
      <c r="P10" s="655"/>
      <c r="Q10" s="226"/>
      <c r="R10" s="90">
        <v>43952</v>
      </c>
      <c r="S10" s="93">
        <f t="shared" si="1"/>
        <v>31</v>
      </c>
      <c r="T10" s="93">
        <f t="shared" si="2"/>
        <v>744</v>
      </c>
      <c r="U10" s="93">
        <f t="shared" si="0"/>
        <v>17368.308000000001</v>
      </c>
      <c r="V10" s="690">
        <f t="shared" si="3"/>
        <v>849055.39923943102</v>
      </c>
      <c r="W10" s="226"/>
      <c r="X10" s="240"/>
      <c r="Y10" s="226"/>
      <c r="Z10" s="240"/>
      <c r="AA10" s="226"/>
      <c r="AB10" s="90">
        <f t="shared" si="4"/>
        <v>43952</v>
      </c>
      <c r="AC10" s="93">
        <f>SUM(V10:$V$17)</f>
        <v>6710276.5423761485</v>
      </c>
      <c r="AD10" s="93">
        <f>SUM(U10:$U$17)</f>
        <v>137265.66</v>
      </c>
      <c r="AE10" s="679">
        <f t="shared" si="5"/>
        <v>29.68481418675777</v>
      </c>
      <c r="AF10" s="93">
        <f t="shared" si="8"/>
        <v>4074705.6113226684</v>
      </c>
      <c r="AG10" s="93">
        <f t="shared" si="6"/>
        <v>-2635570.9310534801</v>
      </c>
      <c r="AH10" s="103">
        <v>4.2799999999999998E-2</v>
      </c>
      <c r="AI10" s="691">
        <f>SUM($AH$6:AH10)</f>
        <v>0.12259999999999999</v>
      </c>
      <c r="AJ10" s="93">
        <f t="shared" si="7"/>
        <v>-5874.9702479999996</v>
      </c>
      <c r="AK10" s="93">
        <f t="shared" si="9"/>
        <v>-112802.43584908894</v>
      </c>
      <c r="AL10" s="226"/>
      <c r="AM10" s="240"/>
      <c r="AN10" s="226"/>
      <c r="AO10" s="656"/>
      <c r="AP10" s="657"/>
      <c r="AQ10" s="692">
        <v>43922</v>
      </c>
      <c r="AR10" s="693">
        <v>14.645555555555555</v>
      </c>
      <c r="AS10" s="694">
        <v>720</v>
      </c>
      <c r="AT10" s="693">
        <f t="shared" si="10"/>
        <v>29.437690899086537</v>
      </c>
      <c r="AU10" s="657"/>
      <c r="AV10" s="656"/>
    </row>
    <row r="11" spans="2:48">
      <c r="B11" s="240"/>
      <c r="C11" s="226"/>
      <c r="D11" s="671" t="s">
        <v>294</v>
      </c>
      <c r="E11" s="695" t="s">
        <v>295</v>
      </c>
      <c r="F11" s="232"/>
      <c r="G11" s="240"/>
      <c r="H11" s="226"/>
      <c r="I11" s="240"/>
      <c r="J11" s="226"/>
      <c r="K11" s="175">
        <f>K9/K10</f>
        <v>-3.9625679008639665</v>
      </c>
      <c r="L11" s="94" t="s">
        <v>296</v>
      </c>
      <c r="M11" s="226"/>
      <c r="N11" s="240"/>
      <c r="O11" s="226"/>
      <c r="P11" s="655"/>
      <c r="Q11" s="226"/>
      <c r="R11" s="90">
        <v>43983</v>
      </c>
      <c r="S11" s="93">
        <f t="shared" si="1"/>
        <v>30</v>
      </c>
      <c r="T11" s="93">
        <f t="shared" si="2"/>
        <v>720</v>
      </c>
      <c r="U11" s="93">
        <f t="shared" si="0"/>
        <v>16808.04</v>
      </c>
      <c r="V11" s="690">
        <f t="shared" si="3"/>
        <v>821666.51539299777</v>
      </c>
      <c r="W11" s="226"/>
      <c r="X11" s="240"/>
      <c r="Y11" s="226"/>
      <c r="Z11" s="240"/>
      <c r="AA11" s="226"/>
      <c r="AB11" s="90">
        <f t="shared" si="4"/>
        <v>43983</v>
      </c>
      <c r="AC11" s="93">
        <f>SUM(V11:$V$17)</f>
        <v>5861221.1431367183</v>
      </c>
      <c r="AD11" s="93">
        <f>SUM(U11:$U$17)</f>
        <v>119897.352</v>
      </c>
      <c r="AE11" s="679">
        <f t="shared" si="5"/>
        <v>30.038832451597951</v>
      </c>
      <c r="AF11" s="93">
        <f t="shared" si="8"/>
        <v>3601576.4681182625</v>
      </c>
      <c r="AG11" s="93">
        <f t="shared" si="6"/>
        <v>-2259644.6750184558</v>
      </c>
      <c r="AH11" s="103">
        <v>3.5099999999999999E-2</v>
      </c>
      <c r="AI11" s="691">
        <f>SUM($AH$6:AH11)</f>
        <v>0.15769999999999998</v>
      </c>
      <c r="AJ11" s="93">
        <f t="shared" si="7"/>
        <v>-4208.3970552000001</v>
      </c>
      <c r="AK11" s="93">
        <f t="shared" si="9"/>
        <v>-79313.528093147805</v>
      </c>
      <c r="AL11" s="226"/>
      <c r="AM11" s="240"/>
      <c r="AN11" s="226"/>
      <c r="AO11" s="656"/>
      <c r="AP11" s="657"/>
      <c r="AQ11" s="692">
        <v>43952</v>
      </c>
      <c r="AR11" s="693">
        <v>10.587096774193549</v>
      </c>
      <c r="AS11" s="694">
        <v>744</v>
      </c>
      <c r="AT11" s="693">
        <f t="shared" si="10"/>
        <v>29.68481418675777</v>
      </c>
      <c r="AU11" s="657"/>
      <c r="AV11" s="656"/>
    </row>
    <row r="12" spans="2:48">
      <c r="B12" s="240"/>
      <c r="C12" s="226"/>
      <c r="D12" s="671" t="s">
        <v>297</v>
      </c>
      <c r="E12" s="695" t="s">
        <v>298</v>
      </c>
      <c r="F12" s="232"/>
      <c r="G12" s="240"/>
      <c r="H12" s="226"/>
      <c r="I12" s="240"/>
      <c r="J12" s="226"/>
      <c r="K12" s="139" t="s">
        <v>299</v>
      </c>
      <c r="L12" s="226"/>
      <c r="M12" s="226"/>
      <c r="N12" s="240"/>
      <c r="O12" s="226"/>
      <c r="P12" s="655"/>
      <c r="Q12" s="226"/>
      <c r="R12" s="99">
        <v>44013</v>
      </c>
      <c r="S12" s="100">
        <f t="shared" si="1"/>
        <v>31</v>
      </c>
      <c r="T12" s="100">
        <f t="shared" si="2"/>
        <v>744</v>
      </c>
      <c r="U12" s="100">
        <f t="shared" si="0"/>
        <v>17368.308000000001</v>
      </c>
      <c r="V12" s="680">
        <f t="shared" si="3"/>
        <v>849055.39923943102</v>
      </c>
      <c r="W12" s="226"/>
      <c r="X12" s="240"/>
      <c r="Y12" s="226"/>
      <c r="Z12" s="240"/>
      <c r="AA12" s="226"/>
      <c r="AB12" s="99">
        <f t="shared" si="4"/>
        <v>44013</v>
      </c>
      <c r="AC12" s="100">
        <f>SUM(V12:$V$17)</f>
        <v>5039554.6277437191</v>
      </c>
      <c r="AD12" s="100">
        <f>SUM(U12:$U$17)</f>
        <v>103089.31200000002</v>
      </c>
      <c r="AE12" s="681">
        <f t="shared" si="5"/>
        <v>29.849459267704212</v>
      </c>
      <c r="AF12" s="100">
        <f t="shared" si="8"/>
        <v>3077160.2194796517</v>
      </c>
      <c r="AG12" s="100">
        <f t="shared" si="6"/>
        <v>-1962394.4082640675</v>
      </c>
      <c r="AH12" s="102">
        <v>3.7499999999999999E-2</v>
      </c>
      <c r="AI12" s="682">
        <f>SUM($AH$6:AH12)</f>
        <v>0.19519999999999998</v>
      </c>
      <c r="AJ12" s="100">
        <f t="shared" si="7"/>
        <v>-3865.8492000000006</v>
      </c>
      <c r="AK12" s="100">
        <f t="shared" si="9"/>
        <v>-73589.790309902528</v>
      </c>
      <c r="AL12" s="226"/>
      <c r="AM12" s="240"/>
      <c r="AN12" s="226"/>
      <c r="AO12" s="656"/>
      <c r="AP12" s="657"/>
      <c r="AQ12" s="692">
        <v>43983</v>
      </c>
      <c r="AR12" s="693">
        <v>16.635555555555555</v>
      </c>
      <c r="AS12" s="694">
        <v>720</v>
      </c>
      <c r="AT12" s="693">
        <f t="shared" si="10"/>
        <v>30.038832451597951</v>
      </c>
      <c r="AU12" s="657"/>
      <c r="AV12" s="656"/>
    </row>
    <row r="13" spans="2:48">
      <c r="B13" s="240"/>
      <c r="C13" s="226"/>
      <c r="D13" s="671" t="s">
        <v>300</v>
      </c>
      <c r="E13" s="695" t="s">
        <v>301</v>
      </c>
      <c r="F13" s="232"/>
      <c r="G13" s="240"/>
      <c r="H13" s="226"/>
      <c r="I13" s="240"/>
      <c r="J13" s="240"/>
      <c r="K13" s="240"/>
      <c r="L13" s="240"/>
      <c r="M13" s="240"/>
      <c r="N13" s="240"/>
      <c r="O13" s="226"/>
      <c r="P13" s="655"/>
      <c r="Q13" s="226"/>
      <c r="R13" s="99">
        <v>44044</v>
      </c>
      <c r="S13" s="100">
        <f t="shared" si="1"/>
        <v>31</v>
      </c>
      <c r="T13" s="100">
        <f t="shared" si="2"/>
        <v>744</v>
      </c>
      <c r="U13" s="100">
        <f t="shared" si="0"/>
        <v>17368.308000000001</v>
      </c>
      <c r="V13" s="680">
        <f t="shared" si="3"/>
        <v>849055.39923943102</v>
      </c>
      <c r="W13" s="226"/>
      <c r="X13" s="240"/>
      <c r="Y13" s="226"/>
      <c r="Z13" s="240"/>
      <c r="AA13" s="226"/>
      <c r="AB13" s="99">
        <f t="shared" si="4"/>
        <v>44044</v>
      </c>
      <c r="AC13" s="100">
        <f>SUM(V13:$V$17)</f>
        <v>4190499.2285042889</v>
      </c>
      <c r="AD13" s="100">
        <f>SUM(U13:$U$17)</f>
        <v>85721.004000000001</v>
      </c>
      <c r="AE13" s="681">
        <f t="shared" si="5"/>
        <v>30.246536893274989</v>
      </c>
      <c r="AF13" s="100">
        <f t="shared" si="8"/>
        <v>2592763.5100145731</v>
      </c>
      <c r="AG13" s="100">
        <f t="shared" si="6"/>
        <v>-1597735.7184897158</v>
      </c>
      <c r="AH13" s="102">
        <v>3.2399999999999998E-2</v>
      </c>
      <c r="AI13" s="682">
        <f>SUM($AH$6:AH13)</f>
        <v>0.22759999999999997</v>
      </c>
      <c r="AJ13" s="100">
        <f t="shared" si="7"/>
        <v>-2777.3605296000001</v>
      </c>
      <c r="AK13" s="100">
        <f t="shared" si="9"/>
        <v>-51766.637279066788</v>
      </c>
      <c r="AL13" s="226"/>
      <c r="AM13" s="240"/>
      <c r="AN13" s="226"/>
      <c r="AO13" s="656"/>
      <c r="AP13" s="657"/>
      <c r="AQ13" s="686">
        <v>44013</v>
      </c>
      <c r="AR13" s="687">
        <v>34.910752688172039</v>
      </c>
      <c r="AS13" s="688">
        <v>744</v>
      </c>
      <c r="AT13" s="687">
        <f t="shared" si="10"/>
        <v>29.849459267704212</v>
      </c>
      <c r="AU13" s="657"/>
      <c r="AV13" s="656"/>
    </row>
    <row r="14" spans="2:48">
      <c r="B14" s="240"/>
      <c r="C14" s="226"/>
      <c r="D14" s="696" t="s">
        <v>302</v>
      </c>
      <c r="E14" s="697" t="s">
        <v>303</v>
      </c>
      <c r="F14" s="232"/>
      <c r="G14" s="240"/>
      <c r="H14" s="226"/>
      <c r="I14" s="226"/>
      <c r="J14" s="226"/>
      <c r="K14" s="226"/>
      <c r="L14" s="226"/>
      <c r="M14" s="226"/>
      <c r="N14" s="226"/>
      <c r="O14" s="226"/>
      <c r="P14" s="655"/>
      <c r="Q14" s="226"/>
      <c r="R14" s="99">
        <v>44075</v>
      </c>
      <c r="S14" s="100">
        <f t="shared" si="1"/>
        <v>30</v>
      </c>
      <c r="T14" s="100">
        <f t="shared" si="2"/>
        <v>720</v>
      </c>
      <c r="U14" s="100">
        <f t="shared" si="0"/>
        <v>16808.04</v>
      </c>
      <c r="V14" s="680">
        <f t="shared" si="3"/>
        <v>821666.51539299777</v>
      </c>
      <c r="W14" s="226"/>
      <c r="X14" s="240"/>
      <c r="Y14" s="226"/>
      <c r="Z14" s="240"/>
      <c r="AA14" s="226"/>
      <c r="AB14" s="99">
        <f t="shared" si="4"/>
        <v>44075</v>
      </c>
      <c r="AC14" s="100">
        <f>SUM(V14:$V$17)</f>
        <v>3341443.8292648578</v>
      </c>
      <c r="AD14" s="100">
        <f>SUM(U14:$U$17)</f>
        <v>68352.695999999996</v>
      </c>
      <c r="AE14" s="681">
        <f t="shared" si="5"/>
        <v>30.431194427521561</v>
      </c>
      <c r="AF14" s="100">
        <f t="shared" si="8"/>
        <v>2080054.1816212751</v>
      </c>
      <c r="AG14" s="100">
        <f t="shared" si="6"/>
        <v>-1261389.6476435827</v>
      </c>
      <c r="AH14" s="102">
        <v>2.7300000000000001E-2</v>
      </c>
      <c r="AI14" s="682">
        <f>SUM($AH$6:AH14)</f>
        <v>0.25489999999999996</v>
      </c>
      <c r="AJ14" s="100">
        <f t="shared" si="7"/>
        <v>-1866.0286008</v>
      </c>
      <c r="AK14" s="100">
        <f t="shared" si="9"/>
        <v>-34435.937380669806</v>
      </c>
      <c r="AL14" s="226"/>
      <c r="AM14" s="240"/>
      <c r="AN14" s="226"/>
      <c r="AO14" s="656"/>
      <c r="AP14" s="657"/>
      <c r="AQ14" s="686">
        <v>44044</v>
      </c>
      <c r="AR14" s="687">
        <v>42.541935483870972</v>
      </c>
      <c r="AS14" s="688">
        <v>744</v>
      </c>
      <c r="AT14" s="687">
        <f t="shared" si="10"/>
        <v>30.246536893274989</v>
      </c>
      <c r="AU14" s="657"/>
      <c r="AV14" s="656"/>
    </row>
    <row r="15" spans="2:48">
      <c r="B15" s="240"/>
      <c r="C15" s="226"/>
      <c r="D15" s="226"/>
      <c r="E15" s="226"/>
      <c r="F15" s="654"/>
      <c r="G15" s="240"/>
      <c r="H15" s="226"/>
      <c r="I15" s="226"/>
      <c r="J15" s="226"/>
      <c r="K15" s="226"/>
      <c r="L15" s="226"/>
      <c r="M15" s="226"/>
      <c r="N15" s="226"/>
      <c r="O15" s="226"/>
      <c r="P15" s="655"/>
      <c r="Q15" s="226"/>
      <c r="R15" s="90">
        <v>44105</v>
      </c>
      <c r="S15" s="93">
        <f t="shared" si="1"/>
        <v>31</v>
      </c>
      <c r="T15" s="93">
        <f t="shared" si="2"/>
        <v>744</v>
      </c>
      <c r="U15" s="93">
        <f t="shared" si="0"/>
        <v>17368.308000000001</v>
      </c>
      <c r="V15" s="690">
        <f t="shared" si="3"/>
        <v>849055.39923943102</v>
      </c>
      <c r="W15" s="226"/>
      <c r="X15" s="240"/>
      <c r="Y15" s="226"/>
      <c r="Z15" s="240"/>
      <c r="AA15" s="226"/>
      <c r="AB15" s="90">
        <f t="shared" si="4"/>
        <v>44105</v>
      </c>
      <c r="AC15" s="93">
        <f>SUM(V15:$V$17)</f>
        <v>2519777.31387186</v>
      </c>
      <c r="AD15" s="93">
        <f>SUM(U15:$U$17)</f>
        <v>51544.656000000003</v>
      </c>
      <c r="AE15" s="679">
        <f t="shared" si="5"/>
        <v>31.025258354462199</v>
      </c>
      <c r="AF15" s="93">
        <f t="shared" si="8"/>
        <v>1599186.2691918802</v>
      </c>
      <c r="AG15" s="93">
        <f t="shared" si="6"/>
        <v>-920591.04467997979</v>
      </c>
      <c r="AH15" s="103">
        <v>2.63E-2</v>
      </c>
      <c r="AI15" s="691">
        <f>SUM($AH$6:AH15)</f>
        <v>0.28119999999999995</v>
      </c>
      <c r="AJ15" s="93">
        <f t="shared" si="7"/>
        <v>-1355.6244528000002</v>
      </c>
      <c r="AK15" s="93">
        <f t="shared" si="9"/>
        <v>-24211.544475083469</v>
      </c>
      <c r="AL15" s="226"/>
      <c r="AM15" s="240"/>
      <c r="AN15" s="226"/>
      <c r="AO15" s="656"/>
      <c r="AP15" s="657"/>
      <c r="AQ15" s="686">
        <v>44075</v>
      </c>
      <c r="AR15" s="687">
        <v>33.62777777777778</v>
      </c>
      <c r="AS15" s="688">
        <v>720</v>
      </c>
      <c r="AT15" s="687">
        <f t="shared" si="10"/>
        <v>30.431194427521561</v>
      </c>
      <c r="AU15" s="657"/>
      <c r="AV15" s="656"/>
    </row>
    <row r="16" spans="2:48">
      <c r="B16" s="240"/>
      <c r="C16" s="226"/>
      <c r="D16" s="88" t="s">
        <v>304</v>
      </c>
      <c r="E16" s="238"/>
      <c r="F16" s="48"/>
      <c r="G16" s="240"/>
      <c r="H16" s="226"/>
      <c r="I16" s="226"/>
      <c r="J16" s="226"/>
      <c r="K16" s="226"/>
      <c r="L16" s="226"/>
      <c r="M16" s="226"/>
      <c r="N16" s="226"/>
      <c r="O16" s="226"/>
      <c r="P16" s="655"/>
      <c r="Q16" s="226"/>
      <c r="R16" s="90">
        <v>44136</v>
      </c>
      <c r="S16" s="93">
        <f t="shared" si="1"/>
        <v>30</v>
      </c>
      <c r="T16" s="93">
        <f t="shared" si="2"/>
        <v>720</v>
      </c>
      <c r="U16" s="93">
        <f t="shared" si="0"/>
        <v>16808.04</v>
      </c>
      <c r="V16" s="690">
        <f t="shared" si="3"/>
        <v>821666.51539299777</v>
      </c>
      <c r="W16" s="226"/>
      <c r="X16" s="240"/>
      <c r="Y16" s="226"/>
      <c r="Z16" s="240"/>
      <c r="AA16" s="226"/>
      <c r="AB16" s="90">
        <f t="shared" si="4"/>
        <v>44136</v>
      </c>
      <c r="AC16" s="93">
        <f>SUM(V16:$V$17)</f>
        <v>1670721.9146324289</v>
      </c>
      <c r="AD16" s="93">
        <f>SUM(U16:$U$17)</f>
        <v>34176.347999999998</v>
      </c>
      <c r="AE16" s="679">
        <f t="shared" si="5"/>
        <v>31.056125934370879</v>
      </c>
      <c r="AF16" s="93">
        <f t="shared" si="8"/>
        <v>1061384.9674648843</v>
      </c>
      <c r="AG16" s="93">
        <f t="shared" si="6"/>
        <v>-609336.94716754463</v>
      </c>
      <c r="AH16" s="103">
        <v>2.6200000000000001E-2</v>
      </c>
      <c r="AI16" s="691">
        <f>SUM($AH$6:AH16)</f>
        <v>0.30739999999999995</v>
      </c>
      <c r="AJ16" s="93">
        <f t="shared" si="7"/>
        <v>-895.42031759999998</v>
      </c>
      <c r="AK16" s="93">
        <f t="shared" si="9"/>
        <v>-15964.628015789669</v>
      </c>
      <c r="AL16" s="226"/>
      <c r="AM16" s="240"/>
      <c r="AN16" s="226"/>
      <c r="AO16" s="656"/>
      <c r="AP16" s="657"/>
      <c r="AQ16" s="692">
        <v>44105</v>
      </c>
      <c r="AR16" s="693">
        <v>28.369354838709675</v>
      </c>
      <c r="AS16" s="694">
        <v>744</v>
      </c>
      <c r="AT16" s="693">
        <f t="shared" si="10"/>
        <v>31.025258354462199</v>
      </c>
      <c r="AU16" s="657"/>
      <c r="AV16" s="656"/>
    </row>
    <row r="17" spans="2:48">
      <c r="B17" s="240"/>
      <c r="C17" s="226"/>
      <c r="D17" s="666" t="s">
        <v>265</v>
      </c>
      <c r="E17" s="168" t="s">
        <v>305</v>
      </c>
      <c r="F17" s="48"/>
      <c r="G17" s="240"/>
      <c r="H17" s="226"/>
      <c r="I17" s="226"/>
      <c r="J17" s="226"/>
      <c r="K17" s="226"/>
      <c r="L17" s="226"/>
      <c r="M17" s="226"/>
      <c r="N17" s="226"/>
      <c r="O17" s="226"/>
      <c r="P17" s="655"/>
      <c r="Q17" s="226"/>
      <c r="R17" s="91">
        <v>44166</v>
      </c>
      <c r="S17" s="95">
        <f>Q18-R17</f>
        <v>31</v>
      </c>
      <c r="T17" s="95">
        <f t="shared" si="2"/>
        <v>744</v>
      </c>
      <c r="U17" s="95">
        <f t="shared" si="0"/>
        <v>17368.308000000001</v>
      </c>
      <c r="V17" s="698">
        <f t="shared" si="3"/>
        <v>849055.39923943102</v>
      </c>
      <c r="W17" s="226"/>
      <c r="X17" s="240"/>
      <c r="Y17" s="226"/>
      <c r="Z17" s="240"/>
      <c r="AA17" s="226"/>
      <c r="AB17" s="91">
        <f t="shared" si="4"/>
        <v>44166</v>
      </c>
      <c r="AC17" s="95">
        <f>SUM(V17:$V$17)</f>
        <v>849055.39923943102</v>
      </c>
      <c r="AD17" s="95">
        <f>SUM(U17:$U$17)</f>
        <v>17368.308000000001</v>
      </c>
      <c r="AE17" s="699">
        <f t="shared" si="5"/>
        <v>31.165233070101468</v>
      </c>
      <c r="AF17" s="95">
        <f t="shared" si="8"/>
        <v>541287.36685330793</v>
      </c>
      <c r="AG17" s="95">
        <f t="shared" si="6"/>
        <v>-307768.03238612309</v>
      </c>
      <c r="AH17" s="104">
        <v>2.5399999999999999E-2</v>
      </c>
      <c r="AI17" s="700">
        <f>SUM($AH$6:AH17)</f>
        <v>0.33279999999999993</v>
      </c>
      <c r="AJ17" s="95">
        <f t="shared" si="7"/>
        <v>-441.15502320000002</v>
      </c>
      <c r="AK17" s="95">
        <f t="shared" si="9"/>
        <v>-7817.3080226075263</v>
      </c>
      <c r="AL17" s="226"/>
      <c r="AM17" s="240"/>
      <c r="AN17" s="226"/>
      <c r="AO17" s="656"/>
      <c r="AP17" s="657"/>
      <c r="AQ17" s="686">
        <v>44136</v>
      </c>
      <c r="AR17" s="693">
        <v>29.572986151515099</v>
      </c>
      <c r="AS17" s="694">
        <v>721</v>
      </c>
      <c r="AT17" s="693">
        <f t="shared" si="10"/>
        <v>31.056125934370879</v>
      </c>
      <c r="AU17" s="657"/>
      <c r="AV17" s="656"/>
    </row>
    <row r="18" spans="2:48">
      <c r="B18" s="240"/>
      <c r="C18" s="226"/>
      <c r="D18" s="671" t="s">
        <v>280</v>
      </c>
      <c r="E18" s="165" t="s">
        <v>306</v>
      </c>
      <c r="F18" s="48"/>
      <c r="G18" s="240"/>
      <c r="H18" s="226"/>
      <c r="I18" s="226"/>
      <c r="J18" s="226"/>
      <c r="K18" s="226"/>
      <c r="L18" s="226"/>
      <c r="M18" s="226"/>
      <c r="N18" s="226"/>
      <c r="O18" s="226"/>
      <c r="P18" s="655"/>
      <c r="Q18" s="96">
        <v>44197</v>
      </c>
      <c r="R18" s="226" t="s">
        <v>307</v>
      </c>
      <c r="S18" s="596">
        <f>SUM(S6:S17)</f>
        <v>366</v>
      </c>
      <c r="T18" s="596">
        <f>SUM(T6:T17)</f>
        <v>8784</v>
      </c>
      <c r="U18" s="701">
        <f>SUM(U6:U17)</f>
        <v>205058.08800000002</v>
      </c>
      <c r="V18" s="702">
        <f>SUM(V6:V17)</f>
        <v>10024331.487794572</v>
      </c>
      <c r="W18" s="226"/>
      <c r="X18" s="240"/>
      <c r="Y18" s="226"/>
      <c r="Z18" s="647"/>
      <c r="AA18" s="232"/>
      <c r="AB18" s="226"/>
      <c r="AC18" s="703"/>
      <c r="AD18" s="703"/>
      <c r="AE18" s="226"/>
      <c r="AF18" s="226"/>
      <c r="AG18" s="704" t="s">
        <v>307</v>
      </c>
      <c r="AH18" s="705">
        <f>SUM(AH6:AH17)</f>
        <v>0.33279999999999993</v>
      </c>
      <c r="AI18" s="706"/>
      <c r="AJ18" s="172">
        <f>SUM(AJ6:AJ17)</f>
        <v>-34905.648855600004</v>
      </c>
      <c r="AK18" s="172">
        <f>SUM(AK6:AK17)</f>
        <v>-674240.59360730893</v>
      </c>
      <c r="AL18" s="232"/>
      <c r="AM18" s="647"/>
      <c r="AN18" s="226"/>
      <c r="AO18" s="656"/>
      <c r="AP18" s="657"/>
      <c r="AQ18" s="692">
        <v>44166</v>
      </c>
      <c r="AR18" s="693">
        <v>40.365591397849464</v>
      </c>
      <c r="AS18" s="694">
        <v>744</v>
      </c>
      <c r="AT18" s="693">
        <f>SUMPRODUCT(AR18:AR29,AS18:AS29)/SUM(AS18:AS29)</f>
        <v>31.165233070101468</v>
      </c>
      <c r="AU18" s="657"/>
      <c r="AV18" s="656"/>
    </row>
    <row r="19" spans="2:48">
      <c r="B19" s="240"/>
      <c r="C19" s="226"/>
      <c r="D19" s="671" t="s">
        <v>283</v>
      </c>
      <c r="E19" s="144" t="s">
        <v>308</v>
      </c>
      <c r="F19" s="48"/>
      <c r="G19" s="240"/>
      <c r="H19" s="707"/>
      <c r="I19" s="707"/>
      <c r="J19" s="707"/>
      <c r="K19" s="707"/>
      <c r="L19" s="707"/>
      <c r="M19" s="707"/>
      <c r="N19" s="707"/>
      <c r="O19" s="707"/>
      <c r="P19" s="655"/>
      <c r="Q19" s="226"/>
      <c r="R19" s="226"/>
      <c r="S19" s="226"/>
      <c r="T19" s="226"/>
      <c r="U19" s="226"/>
      <c r="V19" s="226"/>
      <c r="W19" s="226"/>
      <c r="X19" s="240"/>
      <c r="Y19" s="226"/>
      <c r="Z19" s="647"/>
      <c r="AA19" s="232"/>
      <c r="AB19" s="171" t="s">
        <v>309</v>
      </c>
      <c r="AC19" s="49"/>
      <c r="AD19" s="49"/>
      <c r="AE19" s="708"/>
      <c r="AF19" s="709"/>
      <c r="AG19" s="709"/>
      <c r="AH19" s="50"/>
      <c r="AI19" s="710"/>
      <c r="AJ19" s="710"/>
      <c r="AK19" s="709"/>
      <c r="AL19" s="232"/>
      <c r="AM19" s="647"/>
      <c r="AN19" s="226"/>
      <c r="AO19" s="656"/>
      <c r="AP19" s="657"/>
      <c r="AQ19" s="686">
        <v>44197</v>
      </c>
      <c r="AR19" s="687">
        <v>37.235483870967741</v>
      </c>
      <c r="AS19" s="688">
        <v>744</v>
      </c>
      <c r="AT19" s="687"/>
      <c r="AU19" s="657"/>
      <c r="AV19" s="656"/>
    </row>
    <row r="20" spans="2:48">
      <c r="B20" s="240"/>
      <c r="C20" s="226"/>
      <c r="D20" s="696" t="s">
        <v>286</v>
      </c>
      <c r="E20" s="146" t="s">
        <v>310</v>
      </c>
      <c r="F20" s="48"/>
      <c r="G20" s="240"/>
      <c r="H20" s="707"/>
      <c r="I20" s="707"/>
      <c r="J20" s="707"/>
      <c r="K20" s="707"/>
      <c r="L20" s="707"/>
      <c r="M20" s="707"/>
      <c r="N20" s="707"/>
      <c r="O20" s="707"/>
      <c r="P20" s="240"/>
      <c r="Q20" s="240"/>
      <c r="R20" s="240"/>
      <c r="S20" s="240"/>
      <c r="T20" s="240"/>
      <c r="U20" s="240"/>
      <c r="V20" s="240"/>
      <c r="W20" s="240"/>
      <c r="X20" s="240"/>
      <c r="Y20" s="226"/>
      <c r="Z20" s="647"/>
      <c r="AA20" s="647"/>
      <c r="AB20" s="711"/>
      <c r="AC20" s="59"/>
      <c r="AD20" s="59"/>
      <c r="AE20" s="712"/>
      <c r="AF20" s="713"/>
      <c r="AG20" s="713"/>
      <c r="AH20" s="58"/>
      <c r="AI20" s="714"/>
      <c r="AJ20" s="714"/>
      <c r="AK20" s="713"/>
      <c r="AL20" s="647"/>
      <c r="AM20" s="647"/>
      <c r="AN20" s="226"/>
      <c r="AO20" s="656"/>
      <c r="AP20" s="657"/>
      <c r="AQ20" s="692">
        <v>44228</v>
      </c>
      <c r="AR20" s="687">
        <v>36.599999999999994</v>
      </c>
      <c r="AS20" s="688">
        <v>672</v>
      </c>
      <c r="AT20" s="687"/>
      <c r="AU20" s="657"/>
      <c r="AV20" s="656"/>
    </row>
    <row r="21" spans="2:48">
      <c r="B21" s="240"/>
      <c r="C21" s="226"/>
      <c r="D21" s="226"/>
      <c r="E21" s="226"/>
      <c r="F21" s="226"/>
      <c r="G21" s="240"/>
      <c r="H21" s="707"/>
      <c r="I21" s="707"/>
      <c r="J21" s="707"/>
      <c r="K21" s="707"/>
      <c r="L21" s="707"/>
      <c r="M21" s="707"/>
      <c r="N21" s="707"/>
      <c r="O21" s="707"/>
      <c r="P21" s="226"/>
      <c r="Q21" s="226"/>
      <c r="R21" s="226"/>
      <c r="S21" s="226"/>
      <c r="T21" s="226"/>
      <c r="U21" s="226"/>
      <c r="V21" s="226"/>
      <c r="W21" s="226"/>
      <c r="X21" s="226"/>
      <c r="Y21" s="226"/>
      <c r="Z21" s="226"/>
      <c r="AA21" s="226"/>
      <c r="AB21" s="226"/>
      <c r="AC21" s="226"/>
      <c r="AD21" s="226"/>
      <c r="AE21" s="226"/>
      <c r="AF21" s="226"/>
      <c r="AG21" s="226"/>
      <c r="AH21" s="226"/>
      <c r="AI21" s="226"/>
      <c r="AJ21" s="226"/>
      <c r="AK21" s="226"/>
      <c r="AL21" s="226"/>
      <c r="AM21" s="226"/>
      <c r="AN21" s="226"/>
      <c r="AO21" s="656"/>
      <c r="AP21" s="657"/>
      <c r="AQ21" s="686">
        <v>44256</v>
      </c>
      <c r="AR21" s="687">
        <v>28.100739247315801</v>
      </c>
      <c r="AS21" s="688">
        <v>743</v>
      </c>
      <c r="AT21" s="687"/>
      <c r="AU21" s="657"/>
      <c r="AV21" s="656"/>
    </row>
    <row r="22" spans="2:48">
      <c r="B22" s="240"/>
      <c r="C22" s="240"/>
      <c r="D22" s="240"/>
      <c r="E22" s="240"/>
      <c r="F22" s="240"/>
      <c r="G22" s="240"/>
      <c r="H22" s="707"/>
      <c r="I22" s="707"/>
      <c r="J22" s="707"/>
      <c r="K22" s="707"/>
      <c r="L22" s="707"/>
      <c r="M22" s="707"/>
      <c r="N22" s="707"/>
      <c r="O22" s="707"/>
      <c r="P22" s="226"/>
      <c r="Q22" s="226"/>
      <c r="R22" s="226"/>
      <c r="S22" s="226"/>
      <c r="T22" s="226"/>
      <c r="U22" s="226"/>
      <c r="V22" s="226"/>
      <c r="W22" s="226"/>
      <c r="X22" s="226"/>
      <c r="Y22" s="226"/>
      <c r="Z22" s="226"/>
      <c r="AA22" s="226"/>
      <c r="AB22" s="226"/>
      <c r="AC22" s="226"/>
      <c r="AD22" s="226"/>
      <c r="AE22" s="226"/>
      <c r="AF22" s="226"/>
      <c r="AG22" s="226"/>
      <c r="AH22" s="226"/>
      <c r="AI22" s="226"/>
      <c r="AJ22" s="226"/>
      <c r="AK22" s="226"/>
      <c r="AL22" s="226"/>
      <c r="AM22" s="226"/>
      <c r="AN22" s="226"/>
      <c r="AO22" s="656"/>
      <c r="AP22" s="657"/>
      <c r="AQ22" s="692">
        <v>44287</v>
      </c>
      <c r="AR22" s="693">
        <v>17.652222222222221</v>
      </c>
      <c r="AS22" s="694">
        <v>720</v>
      </c>
      <c r="AT22" s="693"/>
      <c r="AU22" s="657"/>
      <c r="AV22" s="656"/>
    </row>
    <row r="23" spans="2:48">
      <c r="B23" s="226"/>
      <c r="C23" s="226"/>
      <c r="D23" s="226"/>
      <c r="E23" s="226"/>
      <c r="F23" s="226"/>
      <c r="G23" s="226"/>
      <c r="H23" s="707"/>
      <c r="I23" s="707"/>
      <c r="J23" s="707"/>
      <c r="K23" s="707"/>
      <c r="L23" s="707"/>
      <c r="M23" s="707"/>
      <c r="N23" s="707"/>
      <c r="O23" s="707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26"/>
      <c r="AL23" s="226"/>
      <c r="AM23" s="226"/>
      <c r="AN23" s="226"/>
      <c r="AO23" s="656"/>
      <c r="AP23" s="657"/>
      <c r="AQ23" s="686">
        <v>44317</v>
      </c>
      <c r="AR23" s="693">
        <v>14.755376344086022</v>
      </c>
      <c r="AS23" s="694">
        <v>744</v>
      </c>
      <c r="AT23" s="693"/>
      <c r="AU23" s="657"/>
      <c r="AV23" s="656"/>
    </row>
    <row r="24" spans="2:48">
      <c r="B24" s="226"/>
      <c r="C24" s="226"/>
      <c r="D24" s="226"/>
      <c r="E24" s="226"/>
      <c r="F24" s="226"/>
      <c r="G24" s="226"/>
      <c r="H24" s="707"/>
      <c r="I24" s="707"/>
      <c r="J24" s="707"/>
      <c r="K24" s="707"/>
      <c r="L24" s="707"/>
      <c r="M24" s="707"/>
      <c r="N24" s="707"/>
      <c r="O24" s="707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656"/>
      <c r="AP24" s="657"/>
      <c r="AQ24" s="692">
        <v>44348</v>
      </c>
      <c r="AR24" s="693">
        <v>14.3315151515151</v>
      </c>
      <c r="AS24" s="694">
        <v>720</v>
      </c>
      <c r="AT24" s="693"/>
      <c r="AU24" s="657"/>
      <c r="AV24" s="656"/>
    </row>
    <row r="25" spans="2:48">
      <c r="B25" s="226"/>
      <c r="C25" s="226"/>
      <c r="D25" s="226"/>
      <c r="E25" s="226"/>
      <c r="F25" s="226"/>
      <c r="G25" s="226"/>
      <c r="H25" s="707"/>
      <c r="I25" s="707"/>
      <c r="J25" s="707"/>
      <c r="K25" s="707"/>
      <c r="L25" s="707"/>
      <c r="M25" s="707"/>
      <c r="N25" s="707"/>
      <c r="O25" s="707"/>
      <c r="P25" s="226"/>
      <c r="Q25" s="226"/>
      <c r="R25" s="226"/>
      <c r="S25" s="226"/>
      <c r="T25" s="226"/>
      <c r="U25" s="226"/>
      <c r="V25" s="226"/>
      <c r="W25" s="226"/>
      <c r="X25" s="226"/>
      <c r="Y25" s="226"/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656"/>
      <c r="AP25" s="657"/>
      <c r="AQ25" s="686">
        <v>44378</v>
      </c>
      <c r="AR25" s="687">
        <v>39.586021505376344</v>
      </c>
      <c r="AS25" s="688">
        <v>744</v>
      </c>
      <c r="AT25" s="687"/>
      <c r="AU25" s="657"/>
      <c r="AV25" s="656"/>
    </row>
    <row r="26" spans="2:48">
      <c r="B26" s="226"/>
      <c r="C26" s="226"/>
      <c r="D26" s="226"/>
      <c r="E26" s="226"/>
      <c r="F26" s="226"/>
      <c r="G26" s="226"/>
      <c r="H26" s="707"/>
      <c r="I26" s="707"/>
      <c r="J26" s="707"/>
      <c r="K26" s="707"/>
      <c r="L26" s="707"/>
      <c r="M26" s="707"/>
      <c r="N26" s="707"/>
      <c r="O26" s="707"/>
      <c r="P26" s="226"/>
      <c r="Q26" s="226"/>
      <c r="R26" s="226"/>
      <c r="S26" s="226"/>
      <c r="T26" s="226"/>
      <c r="U26" s="226"/>
      <c r="V26" s="226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656"/>
      <c r="AP26" s="657"/>
      <c r="AQ26" s="686">
        <v>44409</v>
      </c>
      <c r="AR26" s="687">
        <v>44.716129032258067</v>
      </c>
      <c r="AS26" s="688">
        <v>744</v>
      </c>
      <c r="AT26" s="687"/>
      <c r="AU26" s="657"/>
      <c r="AV26" s="656"/>
    </row>
    <row r="27" spans="2:48">
      <c r="B27" s="226"/>
      <c r="C27" s="226"/>
      <c r="D27" s="226"/>
      <c r="E27" s="226"/>
      <c r="F27" s="226"/>
      <c r="G27" s="226"/>
      <c r="H27" s="707"/>
      <c r="I27" s="707"/>
      <c r="J27" s="707"/>
      <c r="K27" s="707"/>
      <c r="L27" s="707"/>
      <c r="M27" s="707"/>
      <c r="N27" s="707"/>
      <c r="O27" s="707"/>
      <c r="P27" s="226"/>
      <c r="Q27" s="226"/>
      <c r="R27" s="226"/>
      <c r="S27" s="226"/>
      <c r="T27" s="226"/>
      <c r="U27" s="226"/>
      <c r="V27" s="226"/>
      <c r="W27" s="226"/>
      <c r="X27" s="226"/>
      <c r="Y27" s="226"/>
      <c r="Z27" s="226"/>
      <c r="AA27" s="226"/>
      <c r="AB27" s="226"/>
      <c r="AC27" s="226"/>
      <c r="AD27" s="226"/>
      <c r="AE27" s="226"/>
      <c r="AF27" s="226"/>
      <c r="AG27" s="226"/>
      <c r="AH27" s="226"/>
      <c r="AI27" s="226"/>
      <c r="AJ27" s="226"/>
      <c r="AK27" s="226"/>
      <c r="AL27" s="226"/>
      <c r="AM27" s="226"/>
      <c r="AN27" s="226"/>
      <c r="AO27" s="656"/>
      <c r="AP27" s="657"/>
      <c r="AQ27" s="692">
        <v>44440</v>
      </c>
      <c r="AR27" s="687">
        <v>40.855555555555554</v>
      </c>
      <c r="AS27" s="688">
        <v>720</v>
      </c>
      <c r="AT27" s="687"/>
      <c r="AU27" s="657"/>
      <c r="AV27" s="656"/>
    </row>
    <row r="28" spans="2:48">
      <c r="B28" s="226"/>
      <c r="C28" s="226"/>
      <c r="D28" s="226"/>
      <c r="E28" s="226"/>
      <c r="F28" s="226"/>
      <c r="G28" s="226"/>
      <c r="H28" s="707"/>
      <c r="I28" s="707"/>
      <c r="J28" s="707"/>
      <c r="K28" s="707"/>
      <c r="L28" s="707"/>
      <c r="M28" s="707"/>
      <c r="N28" s="707"/>
      <c r="O28" s="707"/>
      <c r="P28" s="226"/>
      <c r="Q28" s="226"/>
      <c r="R28" s="226"/>
      <c r="S28" s="226"/>
      <c r="T28" s="226"/>
      <c r="U28" s="226"/>
      <c r="V28" s="226"/>
      <c r="W28" s="226"/>
      <c r="X28" s="226"/>
      <c r="Y28" s="226"/>
      <c r="Z28" s="226"/>
      <c r="AA28" s="226"/>
      <c r="AB28" s="226"/>
      <c r="AC28" s="226"/>
      <c r="AD28" s="226"/>
      <c r="AE28" s="226"/>
      <c r="AF28" s="226"/>
      <c r="AG28" s="226"/>
      <c r="AH28" s="226"/>
      <c r="AI28" s="226"/>
      <c r="AJ28" s="226"/>
      <c r="AK28" s="226"/>
      <c r="AL28" s="226"/>
      <c r="AM28" s="226"/>
      <c r="AN28" s="226"/>
      <c r="AO28" s="656"/>
      <c r="AP28" s="657"/>
      <c r="AQ28" s="686">
        <v>44470</v>
      </c>
      <c r="AR28" s="693">
        <v>28.732795698924733</v>
      </c>
      <c r="AS28" s="694">
        <v>744</v>
      </c>
      <c r="AT28" s="693"/>
      <c r="AU28" s="657"/>
      <c r="AV28" s="656"/>
    </row>
    <row r="29" spans="2:48">
      <c r="B29" s="226"/>
      <c r="C29" s="226"/>
      <c r="D29" s="226"/>
      <c r="E29" s="226"/>
      <c r="F29" s="226"/>
      <c r="G29" s="226"/>
      <c r="H29" s="707"/>
      <c r="I29" s="707"/>
      <c r="J29" s="707"/>
      <c r="K29" s="707"/>
      <c r="L29" s="707"/>
      <c r="M29" s="707"/>
      <c r="N29" s="707"/>
      <c r="O29" s="707"/>
      <c r="P29" s="226"/>
      <c r="Q29" s="226"/>
      <c r="R29" s="226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  <c r="AH29" s="226"/>
      <c r="AI29" s="226"/>
      <c r="AJ29" s="226"/>
      <c r="AK29" s="226"/>
      <c r="AL29" s="226"/>
      <c r="AM29" s="226"/>
      <c r="AN29" s="226"/>
      <c r="AO29" s="656"/>
      <c r="AP29" s="657"/>
      <c r="AQ29" s="692">
        <v>44501</v>
      </c>
      <c r="AR29" s="693">
        <v>30.898615151515099</v>
      </c>
      <c r="AS29" s="694">
        <v>721</v>
      </c>
      <c r="AT29" s="693"/>
      <c r="AU29" s="657"/>
      <c r="AV29" s="656"/>
    </row>
    <row r="30" spans="2:48">
      <c r="B30" s="226"/>
      <c r="C30" s="226"/>
      <c r="D30" s="226"/>
      <c r="E30" s="226"/>
      <c r="F30" s="226"/>
      <c r="G30" s="226"/>
      <c r="H30" s="707"/>
      <c r="I30" s="707"/>
      <c r="J30" s="707"/>
      <c r="K30" s="707"/>
      <c r="L30" s="707"/>
      <c r="M30" s="707"/>
      <c r="N30" s="707"/>
      <c r="O30" s="707"/>
      <c r="P30" s="226"/>
      <c r="Q30" s="226"/>
      <c r="R30" s="226"/>
      <c r="S30" s="226"/>
      <c r="T30" s="226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6"/>
      <c r="AF30" s="226"/>
      <c r="AG30" s="226"/>
      <c r="AH30" s="226"/>
      <c r="AI30" s="226"/>
      <c r="AJ30" s="226"/>
      <c r="AK30" s="226"/>
      <c r="AL30" s="226"/>
      <c r="AM30" s="226"/>
      <c r="AN30" s="226"/>
      <c r="AO30" s="656"/>
      <c r="AP30" s="657"/>
      <c r="AQ30" s="715">
        <v>44531</v>
      </c>
      <c r="AR30" s="716">
        <v>37.13225806451613</v>
      </c>
      <c r="AS30" s="717">
        <v>744</v>
      </c>
      <c r="AT30" s="716"/>
      <c r="AU30" s="657"/>
      <c r="AV30" s="656"/>
    </row>
    <row r="31" spans="2:48">
      <c r="B31" s="226"/>
      <c r="C31" s="226"/>
      <c r="D31" s="226"/>
      <c r="E31" s="226"/>
      <c r="F31" s="226"/>
      <c r="G31" s="226"/>
      <c r="H31" s="707"/>
      <c r="I31" s="707"/>
      <c r="J31" s="707"/>
      <c r="K31" s="707"/>
      <c r="L31" s="707"/>
      <c r="M31" s="707"/>
      <c r="N31" s="707"/>
      <c r="O31" s="707"/>
      <c r="P31" s="226"/>
      <c r="Q31" s="226"/>
      <c r="R31" s="226"/>
      <c r="S31" s="226"/>
      <c r="T31" s="226"/>
      <c r="U31" s="226"/>
      <c r="V31" s="226"/>
      <c r="W31" s="226"/>
      <c r="X31" s="226"/>
      <c r="Y31" s="226"/>
      <c r="Z31" s="226"/>
      <c r="AA31" s="226"/>
      <c r="AB31" s="226"/>
      <c r="AC31" s="226"/>
      <c r="AD31" s="226"/>
      <c r="AE31" s="226"/>
      <c r="AF31" s="226"/>
      <c r="AG31" s="226"/>
      <c r="AH31" s="226"/>
      <c r="AI31" s="226"/>
      <c r="AJ31" s="226"/>
      <c r="AK31" s="226"/>
      <c r="AL31" s="226"/>
      <c r="AM31" s="226"/>
      <c r="AN31" s="226"/>
      <c r="AO31" s="656"/>
      <c r="AP31" s="657"/>
      <c r="AQ31" s="657"/>
      <c r="AR31" s="657"/>
      <c r="AS31" s="657"/>
      <c r="AT31" s="657"/>
      <c r="AU31" s="657"/>
      <c r="AV31" s="656"/>
    </row>
    <row r="32" spans="2:48">
      <c r="B32" s="226"/>
      <c r="C32" s="226"/>
      <c r="D32" s="226"/>
      <c r="E32" s="226"/>
      <c r="F32" s="226"/>
      <c r="G32" s="226"/>
      <c r="H32" s="707"/>
      <c r="I32" s="707"/>
      <c r="J32" s="707"/>
      <c r="K32" s="707"/>
      <c r="L32" s="707"/>
      <c r="M32" s="707"/>
      <c r="N32" s="707"/>
      <c r="O32" s="707"/>
      <c r="P32" s="226"/>
      <c r="Q32" s="226"/>
      <c r="R32" s="226"/>
      <c r="S32" s="226"/>
      <c r="T32" s="226"/>
      <c r="U32" s="226"/>
      <c r="V32" s="226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26"/>
      <c r="AJ32" s="226"/>
      <c r="AK32" s="226"/>
      <c r="AL32" s="226"/>
      <c r="AM32" s="226"/>
      <c r="AN32" s="226"/>
      <c r="AO32" s="656"/>
      <c r="AP32" s="656"/>
      <c r="AQ32" s="656"/>
      <c r="AR32" s="656"/>
      <c r="AS32" s="656"/>
      <c r="AT32" s="656"/>
      <c r="AU32" s="656"/>
      <c r="AV32" s="656"/>
    </row>
    <row r="33" spans="8:15">
      <c r="H33" s="707"/>
      <c r="I33" s="707"/>
      <c r="J33" s="707"/>
      <c r="K33" s="707"/>
      <c r="L33" s="707"/>
      <c r="M33" s="707"/>
      <c r="N33" s="707"/>
      <c r="O33" s="707"/>
    </row>
    <row r="34" spans="8:15">
      <c r="H34" s="707"/>
      <c r="I34" s="707"/>
      <c r="J34" s="707"/>
      <c r="K34" s="707"/>
      <c r="L34" s="707"/>
      <c r="M34" s="707"/>
      <c r="N34" s="707"/>
      <c r="O34" s="707"/>
    </row>
    <row r="35" spans="8:15">
      <c r="H35" s="707"/>
      <c r="I35" s="707"/>
      <c r="J35" s="707"/>
      <c r="K35" s="707"/>
      <c r="L35" s="707"/>
      <c r="M35" s="707"/>
      <c r="N35" s="707"/>
      <c r="O35" s="707"/>
    </row>
    <row r="36" spans="8:15">
      <c r="H36" s="707"/>
      <c r="I36" s="707"/>
      <c r="J36" s="707"/>
      <c r="K36" s="707"/>
      <c r="L36" s="707"/>
      <c r="M36" s="707"/>
      <c r="N36" s="707"/>
      <c r="O36" s="707"/>
    </row>
    <row r="37" spans="8:15">
      <c r="H37" s="707"/>
      <c r="I37" s="707"/>
      <c r="J37" s="707"/>
      <c r="K37" s="707"/>
      <c r="L37" s="707"/>
      <c r="M37" s="707"/>
      <c r="N37" s="707"/>
      <c r="O37" s="707"/>
    </row>
    <row r="38" spans="8:15">
      <c r="H38" s="707"/>
      <c r="I38" s="707"/>
      <c r="J38" s="707"/>
      <c r="K38" s="707"/>
      <c r="L38" s="707"/>
      <c r="M38" s="707"/>
      <c r="N38" s="707"/>
      <c r="O38" s="707"/>
    </row>
    <row r="39" spans="8:15">
      <c r="H39" s="707"/>
      <c r="I39" s="707"/>
      <c r="J39" s="707"/>
      <c r="K39" s="707"/>
      <c r="L39" s="707"/>
      <c r="M39" s="707"/>
      <c r="N39" s="707"/>
      <c r="O39" s="707"/>
    </row>
    <row r="40" spans="8:15">
      <c r="H40" s="707"/>
      <c r="I40" s="707"/>
      <c r="J40" s="707"/>
      <c r="K40" s="707"/>
      <c r="L40" s="707"/>
      <c r="M40" s="707"/>
      <c r="N40" s="707"/>
      <c r="O40" s="707"/>
    </row>
    <row r="41" spans="8:15">
      <c r="H41" s="707"/>
      <c r="I41" s="707"/>
      <c r="J41" s="707"/>
      <c r="K41" s="707"/>
      <c r="L41" s="707"/>
      <c r="M41" s="707"/>
      <c r="N41" s="707"/>
      <c r="O41" s="707"/>
    </row>
    <row r="42" spans="8:15">
      <c r="H42" s="707"/>
      <c r="I42" s="226"/>
      <c r="J42" s="226"/>
      <c r="K42" s="226"/>
      <c r="L42" s="226"/>
      <c r="M42" s="226"/>
      <c r="N42" s="226"/>
      <c r="O42" s="707"/>
    </row>
    <row r="43" spans="8:15">
      <c r="H43" s="707"/>
      <c r="I43" s="226"/>
      <c r="J43" s="226"/>
      <c r="K43" s="226"/>
      <c r="L43" s="226"/>
      <c r="M43" s="226"/>
      <c r="N43" s="226"/>
      <c r="O43" s="707"/>
    </row>
    <row r="44" spans="8:15">
      <c r="H44" s="707"/>
      <c r="I44" s="226"/>
      <c r="J44" s="226"/>
      <c r="K44" s="226"/>
      <c r="L44" s="226"/>
      <c r="M44" s="226"/>
      <c r="N44" s="226"/>
      <c r="O44" s="707"/>
    </row>
    <row r="45" spans="8:15">
      <c r="H45" s="707"/>
      <c r="I45" s="226"/>
      <c r="J45" s="226"/>
      <c r="K45" s="226"/>
      <c r="L45" s="226"/>
      <c r="M45" s="226"/>
      <c r="N45" s="226"/>
      <c r="O45" s="707"/>
    </row>
    <row r="46" spans="8:15">
      <c r="H46" s="707"/>
      <c r="I46" s="707"/>
      <c r="J46" s="707"/>
      <c r="K46" s="707"/>
      <c r="L46" s="707"/>
      <c r="M46" s="707"/>
      <c r="N46" s="707"/>
      <c r="O46" s="707"/>
    </row>
    <row r="47" spans="8:15">
      <c r="H47" s="707"/>
      <c r="I47" s="707"/>
      <c r="J47" s="707"/>
      <c r="K47" s="707"/>
      <c r="L47" s="707"/>
      <c r="M47" s="707"/>
      <c r="N47" s="707"/>
      <c r="O47" s="707"/>
    </row>
    <row r="48" spans="8:15">
      <c r="H48" s="707"/>
      <c r="I48" s="707"/>
      <c r="J48" s="707"/>
      <c r="K48" s="707"/>
      <c r="L48" s="707"/>
      <c r="M48" s="707"/>
      <c r="N48" s="707"/>
      <c r="O48" s="707"/>
    </row>
    <row r="49" spans="8:15">
      <c r="H49" s="707"/>
      <c r="I49" s="226"/>
      <c r="J49" s="226"/>
      <c r="K49" s="226"/>
      <c r="L49" s="226"/>
      <c r="M49" s="226"/>
      <c r="N49" s="226"/>
      <c r="O49" s="707"/>
    </row>
    <row r="50" spans="8:15">
      <c r="H50" s="707"/>
      <c r="I50" s="226"/>
      <c r="J50" s="226"/>
      <c r="K50" s="226"/>
      <c r="L50" s="226"/>
      <c r="M50" s="226"/>
      <c r="N50" s="226"/>
      <c r="O50" s="707"/>
    </row>
    <row r="51" spans="8:15">
      <c r="H51" s="707"/>
      <c r="I51" s="226"/>
      <c r="J51" s="226"/>
      <c r="K51" s="226"/>
      <c r="L51" s="226"/>
      <c r="M51" s="226"/>
      <c r="N51" s="226"/>
      <c r="O51" s="707"/>
    </row>
    <row r="52" spans="8:15">
      <c r="H52" s="707"/>
      <c r="I52" s="226"/>
      <c r="J52" s="226"/>
      <c r="K52" s="226"/>
      <c r="L52" s="226"/>
      <c r="M52" s="226"/>
      <c r="N52" s="226"/>
      <c r="O52" s="707"/>
    </row>
    <row r="53" spans="8:15">
      <c r="H53" s="707"/>
      <c r="I53" s="226"/>
      <c r="J53" s="226"/>
      <c r="K53" s="226"/>
      <c r="L53" s="226"/>
      <c r="M53" s="226"/>
      <c r="N53" s="226"/>
      <c r="O53" s="707"/>
    </row>
    <row r="54" spans="8:15">
      <c r="H54" s="707"/>
      <c r="I54" s="226"/>
      <c r="J54" s="226"/>
      <c r="K54" s="226"/>
      <c r="L54" s="226"/>
      <c r="M54" s="226"/>
      <c r="N54" s="226"/>
      <c r="O54" s="707"/>
    </row>
    <row r="55" spans="8:15">
      <c r="H55" s="707"/>
      <c r="I55" s="226"/>
      <c r="J55" s="226"/>
      <c r="K55" s="226"/>
      <c r="L55" s="226"/>
      <c r="M55" s="226"/>
      <c r="N55" s="226"/>
      <c r="O55" s="707"/>
    </row>
    <row r="56" spans="8:15">
      <c r="H56" s="707"/>
      <c r="I56" s="226"/>
      <c r="J56" s="226"/>
      <c r="K56" s="226"/>
      <c r="L56" s="226"/>
      <c r="M56" s="226"/>
      <c r="N56" s="226"/>
      <c r="O56" s="707"/>
    </row>
    <row r="57" spans="8:15">
      <c r="H57" s="707"/>
      <c r="I57" s="226"/>
      <c r="J57" s="226"/>
      <c r="K57" s="226"/>
      <c r="L57" s="226"/>
      <c r="M57" s="226"/>
      <c r="N57" s="226"/>
      <c r="O57" s="707"/>
    </row>
    <row r="58" spans="8:15">
      <c r="H58" s="707"/>
      <c r="I58" s="226"/>
      <c r="J58" s="226"/>
      <c r="K58" s="226"/>
      <c r="L58" s="226"/>
      <c r="M58" s="226"/>
      <c r="N58" s="226"/>
      <c r="O58" s="707"/>
    </row>
    <row r="59" spans="8:15">
      <c r="H59" s="707"/>
      <c r="I59" s="707"/>
      <c r="J59" s="707"/>
      <c r="K59" s="707"/>
      <c r="L59" s="707"/>
      <c r="M59" s="707"/>
      <c r="N59" s="707"/>
      <c r="O59" s="707"/>
    </row>
    <row r="60" spans="8:15">
      <c r="H60" s="707"/>
      <c r="I60" s="707"/>
      <c r="J60" s="707"/>
      <c r="K60" s="707"/>
      <c r="L60" s="707"/>
      <c r="M60" s="707"/>
      <c r="N60" s="707"/>
      <c r="O60" s="707"/>
    </row>
    <row r="61" spans="8:15">
      <c r="H61" s="226"/>
      <c r="I61" s="707"/>
      <c r="J61" s="707"/>
      <c r="K61" s="707"/>
      <c r="L61" s="707"/>
      <c r="M61" s="707"/>
      <c r="N61" s="707"/>
      <c r="O61" s="226"/>
    </row>
    <row r="62" spans="8:15">
      <c r="H62" s="226"/>
      <c r="I62" s="707"/>
      <c r="J62" s="707"/>
      <c r="K62" s="707"/>
      <c r="L62" s="707"/>
      <c r="M62" s="707"/>
      <c r="N62" s="707"/>
      <c r="O62" s="226"/>
    </row>
    <row r="63" spans="8:15">
      <c r="H63" s="226"/>
      <c r="I63" s="707"/>
      <c r="J63" s="707"/>
      <c r="K63" s="707"/>
      <c r="L63" s="707"/>
      <c r="M63" s="707"/>
      <c r="N63" s="707"/>
      <c r="O63" s="226"/>
    </row>
    <row r="64" spans="8:15">
      <c r="H64" s="226"/>
      <c r="I64" s="707"/>
      <c r="J64" s="707"/>
      <c r="K64" s="707"/>
      <c r="L64" s="707"/>
      <c r="M64" s="707"/>
      <c r="N64" s="707"/>
      <c r="O64" s="226"/>
    </row>
    <row r="65" spans="7:15">
      <c r="G65" s="226"/>
      <c r="H65" s="707"/>
      <c r="I65" s="707"/>
      <c r="J65" s="707"/>
      <c r="K65" s="707"/>
      <c r="L65" s="707"/>
      <c r="M65" s="707"/>
      <c r="N65" s="707"/>
      <c r="O65" s="707"/>
    </row>
    <row r="66" spans="7:15">
      <c r="G66" s="226"/>
      <c r="H66" s="707"/>
      <c r="I66" s="707"/>
      <c r="J66" s="707"/>
      <c r="K66" s="707"/>
      <c r="L66" s="707"/>
      <c r="M66" s="707"/>
      <c r="N66" s="707"/>
      <c r="O66" s="707"/>
    </row>
    <row r="67" spans="7:15">
      <c r="G67" s="226"/>
      <c r="H67" s="707"/>
      <c r="I67" s="707"/>
      <c r="J67" s="707"/>
      <c r="K67" s="707"/>
      <c r="L67" s="707"/>
      <c r="M67" s="707"/>
      <c r="N67" s="707"/>
      <c r="O67" s="707"/>
    </row>
    <row r="68" spans="7:15">
      <c r="G68" s="226"/>
      <c r="H68" s="226"/>
      <c r="I68" s="707"/>
      <c r="J68" s="707"/>
      <c r="K68" s="707"/>
      <c r="L68" s="707"/>
      <c r="M68" s="707"/>
      <c r="N68" s="707"/>
      <c r="O68" s="226"/>
    </row>
    <row r="69" spans="7:15">
      <c r="G69" s="226"/>
      <c r="H69" s="226"/>
      <c r="I69" s="707"/>
      <c r="J69" s="707"/>
      <c r="K69" s="707"/>
      <c r="L69" s="707"/>
      <c r="M69" s="707"/>
      <c r="N69" s="707"/>
      <c r="O69" s="226"/>
    </row>
    <row r="70" spans="7:15">
      <c r="G70" s="226"/>
      <c r="H70" s="226"/>
      <c r="I70" s="707"/>
      <c r="J70" s="707"/>
      <c r="K70" s="707"/>
      <c r="L70" s="707"/>
      <c r="M70" s="707"/>
      <c r="N70" s="707"/>
      <c r="O70" s="226"/>
    </row>
    <row r="71" spans="7:15">
      <c r="G71" s="707"/>
      <c r="H71" s="226"/>
      <c r="I71" s="707"/>
      <c r="J71" s="707"/>
      <c r="K71" s="707"/>
      <c r="L71" s="707"/>
      <c r="M71" s="707"/>
      <c r="N71" s="707"/>
      <c r="O71" s="226"/>
    </row>
    <row r="72" spans="7:15">
      <c r="G72" s="707"/>
      <c r="H72" s="226"/>
      <c r="I72" s="707"/>
      <c r="J72" s="707"/>
      <c r="K72" s="707"/>
      <c r="L72" s="707"/>
      <c r="M72" s="707"/>
      <c r="N72" s="707"/>
      <c r="O72" s="226"/>
    </row>
    <row r="73" spans="7:15">
      <c r="G73" s="707"/>
      <c r="H73" s="226"/>
      <c r="I73" s="707"/>
      <c r="J73" s="707"/>
      <c r="K73" s="707"/>
      <c r="L73" s="707"/>
      <c r="M73" s="707"/>
      <c r="N73" s="707"/>
      <c r="O73" s="226"/>
    </row>
    <row r="74" spans="7:15">
      <c r="G74" s="707"/>
      <c r="H74" s="226"/>
      <c r="I74" s="707"/>
      <c r="J74" s="707"/>
      <c r="K74" s="707"/>
      <c r="L74" s="707"/>
      <c r="M74" s="707"/>
      <c r="N74" s="707"/>
      <c r="O74" s="226"/>
    </row>
    <row r="75" spans="7:15">
      <c r="G75" s="707"/>
      <c r="H75" s="226"/>
      <c r="I75" s="707"/>
      <c r="J75" s="707"/>
      <c r="K75" s="707"/>
      <c r="L75" s="707"/>
      <c r="M75" s="707"/>
      <c r="N75" s="707"/>
      <c r="O75" s="226"/>
    </row>
    <row r="76" spans="7:15">
      <c r="G76" s="707"/>
      <c r="H76" s="226"/>
      <c r="I76" s="707"/>
      <c r="J76" s="707"/>
      <c r="K76" s="707"/>
      <c r="L76" s="707"/>
      <c r="M76" s="707"/>
      <c r="N76" s="707"/>
      <c r="O76" s="226"/>
    </row>
    <row r="77" spans="7:15">
      <c r="G77" s="707"/>
      <c r="H77" s="226"/>
      <c r="I77" s="707"/>
      <c r="J77" s="707"/>
      <c r="K77" s="707"/>
      <c r="L77" s="707"/>
      <c r="M77" s="707"/>
      <c r="N77" s="707"/>
      <c r="O77" s="226"/>
    </row>
    <row r="78" spans="7:15">
      <c r="G78" s="707"/>
      <c r="H78" s="707"/>
      <c r="I78" s="707"/>
      <c r="J78" s="707"/>
      <c r="K78" s="707"/>
      <c r="L78" s="707"/>
      <c r="M78" s="707"/>
      <c r="N78" s="707"/>
      <c r="O78" s="707"/>
    </row>
    <row r="79" spans="7:15">
      <c r="G79" s="707"/>
      <c r="H79" s="707"/>
      <c r="I79" s="707"/>
      <c r="J79" s="707"/>
      <c r="K79" s="707"/>
      <c r="L79" s="707"/>
      <c r="M79" s="707"/>
      <c r="N79" s="707"/>
      <c r="O79" s="707"/>
    </row>
    <row r="80" spans="7:15">
      <c r="G80" s="707"/>
      <c r="H80" s="707"/>
      <c r="I80" s="707"/>
      <c r="J80" s="707"/>
      <c r="K80" s="707"/>
      <c r="L80" s="707"/>
      <c r="M80" s="707"/>
      <c r="N80" s="707"/>
      <c r="O80" s="707"/>
    </row>
    <row r="81" spans="6:15">
      <c r="F81" s="226"/>
      <c r="G81" s="707"/>
      <c r="H81" s="707"/>
      <c r="I81" s="707"/>
      <c r="J81" s="707"/>
      <c r="K81" s="707"/>
      <c r="L81" s="707"/>
      <c r="M81" s="707"/>
      <c r="N81" s="707"/>
      <c r="O81" s="707"/>
    </row>
    <row r="82" spans="6:15">
      <c r="F82" s="226"/>
      <c r="G82" s="707"/>
      <c r="H82" s="707"/>
      <c r="I82" s="707"/>
      <c r="J82" s="707"/>
      <c r="K82" s="707"/>
      <c r="L82" s="707"/>
      <c r="M82" s="707"/>
      <c r="N82" s="707"/>
      <c r="O82" s="707"/>
    </row>
    <row r="83" spans="6:15">
      <c r="F83" s="718"/>
      <c r="G83" s="707"/>
      <c r="H83" s="707"/>
      <c r="I83" s="707"/>
      <c r="J83" s="707"/>
      <c r="K83" s="707"/>
      <c r="L83" s="707"/>
      <c r="M83" s="707"/>
      <c r="N83" s="707"/>
      <c r="O83" s="707"/>
    </row>
    <row r="84" spans="6:15">
      <c r="F84" s="718"/>
      <c r="G84" s="707"/>
      <c r="H84" s="707"/>
      <c r="I84" s="707"/>
      <c r="J84" s="707"/>
      <c r="K84" s="707"/>
      <c r="L84" s="707"/>
      <c r="M84" s="707"/>
      <c r="N84" s="707"/>
      <c r="O84" s="707"/>
    </row>
    <row r="85" spans="6:15">
      <c r="F85" s="718"/>
      <c r="G85" s="707"/>
      <c r="H85" s="707"/>
      <c r="I85" s="707"/>
      <c r="J85" s="707"/>
      <c r="K85" s="707"/>
      <c r="L85" s="707"/>
      <c r="M85" s="707"/>
      <c r="N85" s="707"/>
      <c r="O85" s="707"/>
    </row>
    <row r="86" spans="6:15">
      <c r="F86" s="718"/>
      <c r="G86" s="707"/>
      <c r="H86" s="707"/>
      <c r="I86" s="707"/>
      <c r="J86" s="707"/>
      <c r="K86" s="707"/>
      <c r="L86" s="707"/>
      <c r="M86" s="707"/>
      <c r="N86" s="707"/>
      <c r="O86" s="707"/>
    </row>
    <row r="87" spans="6:15">
      <c r="F87" s="718"/>
      <c r="G87" s="707"/>
      <c r="H87" s="707"/>
      <c r="I87" s="707"/>
      <c r="J87" s="707"/>
      <c r="K87" s="707"/>
      <c r="L87" s="707"/>
      <c r="M87" s="707"/>
      <c r="N87" s="707"/>
      <c r="O87" s="707"/>
    </row>
    <row r="88" spans="6:15">
      <c r="F88" s="718"/>
      <c r="G88" s="707"/>
      <c r="H88" s="707"/>
      <c r="I88" s="707"/>
      <c r="J88" s="707"/>
      <c r="K88" s="707"/>
      <c r="L88" s="707"/>
      <c r="M88" s="707"/>
      <c r="N88" s="707"/>
      <c r="O88" s="707"/>
    </row>
    <row r="89" spans="6:15">
      <c r="F89" s="718"/>
      <c r="G89" s="707"/>
      <c r="H89" s="707"/>
      <c r="I89" s="707"/>
      <c r="J89" s="707"/>
      <c r="K89" s="707"/>
      <c r="L89" s="707"/>
      <c r="M89" s="707"/>
      <c r="N89" s="707"/>
      <c r="O89" s="707"/>
    </row>
    <row r="90" spans="6:15">
      <c r="F90" s="718"/>
      <c r="G90" s="707"/>
      <c r="H90" s="707"/>
      <c r="I90" s="707"/>
      <c r="J90" s="707"/>
      <c r="K90" s="707"/>
      <c r="L90" s="707"/>
      <c r="M90" s="707"/>
      <c r="N90" s="707"/>
      <c r="O90" s="707"/>
    </row>
    <row r="91" spans="6:15">
      <c r="F91" s="718"/>
      <c r="G91" s="707"/>
      <c r="H91" s="707"/>
      <c r="I91" s="707"/>
      <c r="J91" s="707"/>
      <c r="K91" s="707"/>
      <c r="L91" s="707"/>
      <c r="M91" s="707"/>
      <c r="N91" s="707"/>
      <c r="O91" s="707"/>
    </row>
    <row r="92" spans="6:15">
      <c r="F92" s="718"/>
      <c r="G92" s="707"/>
      <c r="H92" s="707"/>
      <c r="I92" s="707"/>
      <c r="J92" s="707"/>
      <c r="K92" s="707"/>
      <c r="L92" s="707"/>
      <c r="M92" s="707"/>
      <c r="N92" s="707"/>
      <c r="O92" s="707"/>
    </row>
    <row r="93" spans="6:15">
      <c r="F93" s="718"/>
      <c r="G93" s="707"/>
      <c r="H93" s="707"/>
      <c r="I93" s="707"/>
      <c r="J93" s="707"/>
      <c r="K93" s="707"/>
      <c r="L93" s="707"/>
      <c r="M93" s="707"/>
      <c r="N93" s="707"/>
      <c r="O93" s="707"/>
    </row>
    <row r="94" spans="6:15">
      <c r="F94" s="718"/>
      <c r="G94" s="707"/>
      <c r="H94" s="707"/>
      <c r="I94" s="707"/>
      <c r="J94" s="707"/>
      <c r="K94" s="707"/>
      <c r="L94" s="707"/>
      <c r="M94" s="707"/>
      <c r="N94" s="707"/>
      <c r="O94" s="707"/>
    </row>
    <row r="95" spans="6:15">
      <c r="F95" s="718"/>
      <c r="G95" s="707"/>
      <c r="H95" s="707"/>
      <c r="I95" s="707"/>
      <c r="J95" s="707"/>
      <c r="K95" s="707"/>
      <c r="L95" s="707"/>
      <c r="M95" s="707"/>
      <c r="N95" s="707"/>
      <c r="O95" s="707"/>
    </row>
    <row r="96" spans="6:15">
      <c r="F96" s="718"/>
      <c r="G96" s="707"/>
      <c r="H96" s="707"/>
      <c r="I96" s="707"/>
      <c r="J96" s="707"/>
      <c r="K96" s="707"/>
      <c r="L96" s="707"/>
      <c r="M96" s="707"/>
      <c r="N96" s="707"/>
      <c r="O96" s="707"/>
    </row>
    <row r="97" spans="6:15">
      <c r="F97" s="718"/>
      <c r="G97" s="707"/>
      <c r="H97" s="707"/>
      <c r="I97" s="707"/>
      <c r="J97" s="707"/>
      <c r="K97" s="707"/>
      <c r="L97" s="707"/>
      <c r="M97" s="707"/>
      <c r="N97" s="707"/>
      <c r="O97" s="707"/>
    </row>
    <row r="98" spans="6:15">
      <c r="F98" s="718"/>
      <c r="G98" s="707"/>
      <c r="H98" s="707"/>
      <c r="I98" s="707"/>
      <c r="J98" s="707"/>
      <c r="K98" s="707"/>
      <c r="L98" s="707"/>
      <c r="M98" s="707"/>
      <c r="N98" s="707"/>
      <c r="O98" s="707"/>
    </row>
    <row r="99" spans="6:15">
      <c r="F99" s="718"/>
      <c r="G99" s="707"/>
      <c r="H99" s="707"/>
      <c r="I99" s="707"/>
      <c r="J99" s="707"/>
      <c r="K99" s="707"/>
      <c r="L99" s="707"/>
      <c r="M99" s="707"/>
      <c r="N99" s="707"/>
      <c r="O99" s="707"/>
    </row>
    <row r="100" spans="6:15">
      <c r="F100" s="718"/>
      <c r="G100" s="707"/>
      <c r="H100" s="707"/>
      <c r="I100" s="707"/>
      <c r="J100" s="707"/>
      <c r="K100" s="707"/>
      <c r="L100" s="707"/>
      <c r="M100" s="707"/>
      <c r="N100" s="707"/>
      <c r="O100" s="707"/>
    </row>
    <row r="101" spans="6:15">
      <c r="F101" s="718"/>
      <c r="G101" s="707"/>
      <c r="H101" s="707"/>
      <c r="I101" s="707"/>
      <c r="J101" s="707"/>
      <c r="K101" s="707"/>
      <c r="L101" s="707"/>
      <c r="M101" s="707"/>
      <c r="N101" s="707"/>
      <c r="O101" s="707"/>
    </row>
    <row r="102" spans="6:15">
      <c r="F102" s="718"/>
      <c r="G102" s="707"/>
      <c r="H102" s="707"/>
      <c r="I102" s="707"/>
      <c r="J102" s="707"/>
      <c r="K102" s="707"/>
      <c r="L102" s="707"/>
      <c r="M102" s="707"/>
      <c r="N102" s="707"/>
      <c r="O102" s="707"/>
    </row>
    <row r="103" spans="6:15">
      <c r="F103" s="718"/>
      <c r="G103" s="707"/>
      <c r="H103" s="707"/>
      <c r="I103" s="707"/>
      <c r="J103" s="707"/>
      <c r="K103" s="707"/>
      <c r="L103" s="707"/>
      <c r="M103" s="707"/>
      <c r="N103" s="707"/>
      <c r="O103" s="707"/>
    </row>
    <row r="104" spans="6:15">
      <c r="F104" s="718"/>
      <c r="G104" s="707"/>
      <c r="H104" s="707"/>
      <c r="I104" s="707"/>
      <c r="J104" s="707"/>
      <c r="K104" s="707"/>
      <c r="L104" s="707"/>
      <c r="M104" s="707"/>
      <c r="N104" s="707"/>
      <c r="O104" s="707"/>
    </row>
    <row r="105" spans="6:15">
      <c r="F105" s="718"/>
      <c r="G105" s="707"/>
      <c r="H105" s="707"/>
      <c r="I105" s="707"/>
      <c r="J105" s="707"/>
      <c r="K105" s="707"/>
      <c r="L105" s="707"/>
      <c r="M105" s="707"/>
      <c r="N105" s="707"/>
      <c r="O105" s="707"/>
    </row>
    <row r="106" spans="6:15">
      <c r="F106" s="718"/>
      <c r="G106" s="707"/>
      <c r="H106" s="707"/>
      <c r="I106" s="707"/>
      <c r="J106" s="707"/>
      <c r="K106" s="707"/>
      <c r="L106" s="707"/>
      <c r="M106" s="707"/>
      <c r="N106" s="707"/>
      <c r="O106" s="707"/>
    </row>
    <row r="107" spans="6:15">
      <c r="F107" s="718"/>
      <c r="G107" s="707"/>
      <c r="H107" s="707"/>
      <c r="I107" s="707"/>
      <c r="J107" s="707"/>
      <c r="K107" s="707"/>
      <c r="L107" s="707"/>
      <c r="M107" s="707"/>
      <c r="N107" s="707"/>
      <c r="O107" s="707"/>
    </row>
    <row r="108" spans="6:15">
      <c r="F108" s="718"/>
      <c r="G108" s="707"/>
      <c r="H108" s="707"/>
      <c r="I108" s="707"/>
      <c r="J108" s="707"/>
      <c r="K108" s="707"/>
      <c r="L108" s="707"/>
      <c r="M108" s="707"/>
      <c r="N108" s="707"/>
      <c r="O108" s="707"/>
    </row>
    <row r="109" spans="6:15">
      <c r="F109" s="226"/>
      <c r="G109" s="707"/>
      <c r="H109" s="707"/>
      <c r="I109" s="707"/>
      <c r="J109" s="707"/>
      <c r="K109" s="707"/>
      <c r="L109" s="707"/>
      <c r="M109" s="707"/>
      <c r="N109" s="707"/>
      <c r="O109" s="707"/>
    </row>
    <row r="110" spans="6:15">
      <c r="F110" s="226"/>
      <c r="G110" s="707"/>
      <c r="H110" s="707"/>
      <c r="I110" s="707"/>
      <c r="J110" s="707"/>
      <c r="K110" s="707"/>
      <c r="L110" s="707"/>
      <c r="M110" s="707"/>
      <c r="N110" s="707"/>
      <c r="O110" s="707"/>
    </row>
    <row r="111" spans="6:15">
      <c r="F111" s="226"/>
      <c r="G111" s="707"/>
      <c r="H111" s="707"/>
      <c r="I111" s="707"/>
      <c r="J111" s="707"/>
      <c r="K111" s="707"/>
      <c r="L111" s="707"/>
      <c r="M111" s="707"/>
      <c r="N111" s="707"/>
      <c r="O111" s="707"/>
    </row>
    <row r="112" spans="6:15">
      <c r="F112" s="226"/>
      <c r="G112" s="707"/>
      <c r="H112" s="707"/>
      <c r="I112" s="707"/>
      <c r="J112" s="707"/>
      <c r="K112" s="707"/>
      <c r="L112" s="707"/>
      <c r="M112" s="707"/>
      <c r="N112" s="707"/>
      <c r="O112" s="707"/>
    </row>
    <row r="113" spans="6:15">
      <c r="F113" s="226"/>
      <c r="G113" s="707"/>
      <c r="H113" s="707"/>
      <c r="I113" s="707"/>
      <c r="J113" s="707"/>
      <c r="K113" s="707"/>
      <c r="L113" s="707"/>
      <c r="M113" s="707"/>
      <c r="N113" s="707"/>
      <c r="O113" s="707"/>
    </row>
    <row r="114" spans="6:15">
      <c r="F114" s="226"/>
      <c r="G114" s="707"/>
      <c r="H114" s="707"/>
      <c r="I114" s="707"/>
      <c r="J114" s="707"/>
      <c r="K114" s="707"/>
      <c r="L114" s="707"/>
      <c r="M114" s="707"/>
      <c r="N114" s="707"/>
      <c r="O114" s="707"/>
    </row>
    <row r="115" spans="6:15">
      <c r="F115" s="226"/>
      <c r="G115" s="707"/>
      <c r="H115" s="707"/>
      <c r="I115" s="707"/>
      <c r="J115" s="707"/>
      <c r="K115" s="707"/>
      <c r="L115" s="707"/>
      <c r="M115" s="707"/>
      <c r="N115" s="707"/>
      <c r="O115" s="707"/>
    </row>
    <row r="116" spans="6:15">
      <c r="F116" s="226"/>
      <c r="G116" s="707"/>
      <c r="H116" s="707"/>
      <c r="I116" s="707"/>
      <c r="J116" s="707"/>
      <c r="K116" s="707"/>
      <c r="L116" s="707"/>
      <c r="M116" s="707"/>
      <c r="N116" s="707"/>
      <c r="O116" s="707"/>
    </row>
    <row r="117" spans="6:15">
      <c r="F117" s="226"/>
      <c r="G117" s="707"/>
      <c r="H117" s="707"/>
      <c r="I117" s="707"/>
      <c r="J117" s="707"/>
      <c r="K117" s="707"/>
      <c r="L117" s="707"/>
      <c r="M117" s="707"/>
      <c r="N117" s="707"/>
      <c r="O117" s="707"/>
    </row>
    <row r="118" spans="6:15">
      <c r="F118" s="226"/>
      <c r="G118" s="707"/>
      <c r="H118" s="707"/>
      <c r="I118" s="707"/>
      <c r="J118" s="707"/>
      <c r="K118" s="707"/>
      <c r="L118" s="707"/>
      <c r="M118" s="707"/>
      <c r="N118" s="707"/>
      <c r="O118" s="707"/>
    </row>
    <row r="119" spans="6:15">
      <c r="F119" s="226"/>
      <c r="G119" s="707"/>
      <c r="H119" s="707"/>
      <c r="I119" s="707"/>
      <c r="J119" s="707"/>
      <c r="K119" s="707"/>
      <c r="L119" s="707"/>
      <c r="M119" s="707"/>
      <c r="N119" s="707"/>
      <c r="O119" s="707"/>
    </row>
    <row r="120" spans="6:15">
      <c r="F120" s="718"/>
      <c r="G120" s="707"/>
      <c r="H120" s="707"/>
      <c r="I120" s="226"/>
      <c r="J120" s="226"/>
      <c r="K120" s="226"/>
      <c r="L120" s="226"/>
      <c r="M120" s="226"/>
      <c r="N120" s="226"/>
      <c r="O120" s="707"/>
    </row>
    <row r="121" spans="6:15">
      <c r="F121" s="718"/>
      <c r="G121" s="707"/>
      <c r="H121" s="707"/>
      <c r="I121" s="226"/>
      <c r="J121" s="226"/>
      <c r="K121" s="226"/>
      <c r="L121" s="226"/>
      <c r="M121" s="226"/>
      <c r="N121" s="226"/>
      <c r="O121" s="707"/>
    </row>
    <row r="122" spans="6:15">
      <c r="F122" s="718"/>
      <c r="G122" s="707"/>
      <c r="H122" s="707"/>
      <c r="I122" s="45"/>
      <c r="J122" s="45"/>
      <c r="K122" s="45"/>
      <c r="L122" s="45"/>
      <c r="M122" s="45"/>
      <c r="N122" s="45"/>
      <c r="O122" s="707"/>
    </row>
    <row r="123" spans="6:15">
      <c r="F123" s="718"/>
      <c r="G123" s="707"/>
      <c r="H123" s="707"/>
      <c r="I123" s="719"/>
      <c r="J123" s="719"/>
      <c r="K123" s="719"/>
      <c r="L123" s="719"/>
      <c r="M123" s="719"/>
      <c r="N123" s="719"/>
      <c r="O123" s="707"/>
    </row>
    <row r="124" spans="6:15">
      <c r="F124" s="718"/>
      <c r="G124" s="707"/>
      <c r="H124" s="707"/>
      <c r="I124" s="45"/>
      <c r="J124" s="45"/>
      <c r="K124" s="45"/>
      <c r="L124" s="45"/>
      <c r="M124" s="45"/>
      <c r="N124" s="45"/>
      <c r="O124" s="707"/>
    </row>
    <row r="125" spans="6:15">
      <c r="F125" s="718"/>
      <c r="G125" s="707"/>
      <c r="H125" s="707"/>
      <c r="I125" s="226"/>
      <c r="J125" s="226"/>
      <c r="K125" s="226"/>
      <c r="L125" s="226"/>
      <c r="M125" s="226"/>
      <c r="N125" s="226"/>
      <c r="O125" s="707"/>
    </row>
    <row r="126" spans="6:15">
      <c r="F126" s="718"/>
      <c r="G126" s="707"/>
      <c r="H126" s="707"/>
      <c r="I126" s="226"/>
      <c r="J126" s="226"/>
      <c r="K126" s="226"/>
      <c r="L126" s="226"/>
      <c r="M126" s="226"/>
      <c r="N126" s="226"/>
      <c r="O126" s="707"/>
    </row>
    <row r="127" spans="6:15">
      <c r="F127" s="718"/>
      <c r="G127" s="707"/>
      <c r="H127" s="707"/>
      <c r="I127" s="226"/>
      <c r="J127" s="226"/>
      <c r="K127" s="226"/>
      <c r="L127" s="226"/>
      <c r="M127" s="226"/>
      <c r="N127" s="226"/>
      <c r="O127" s="707"/>
    </row>
    <row r="128" spans="6:15">
      <c r="F128" s="718"/>
      <c r="G128" s="707"/>
      <c r="H128" s="707"/>
      <c r="I128" s="226"/>
      <c r="J128" s="226"/>
      <c r="K128" s="226"/>
      <c r="L128" s="226"/>
      <c r="M128" s="226"/>
      <c r="N128" s="226"/>
      <c r="O128" s="707"/>
    </row>
    <row r="129" spans="2:72">
      <c r="B129" s="226"/>
      <c r="C129" s="226"/>
      <c r="D129" s="226"/>
      <c r="E129" s="226"/>
      <c r="F129" s="718"/>
      <c r="G129" s="707"/>
      <c r="H129" s="707"/>
      <c r="I129" s="226"/>
      <c r="J129" s="226"/>
      <c r="K129" s="226"/>
      <c r="L129" s="226"/>
      <c r="M129" s="226"/>
      <c r="N129" s="226"/>
      <c r="O129" s="707"/>
      <c r="P129" s="226"/>
      <c r="Q129" s="226"/>
      <c r="R129" s="226"/>
      <c r="S129" s="226"/>
      <c r="T129" s="226"/>
      <c r="U129" s="226"/>
      <c r="V129" s="226"/>
      <c r="W129" s="226"/>
      <c r="X129" s="226"/>
      <c r="Y129" s="226"/>
      <c r="Z129" s="226"/>
      <c r="AA129" s="226"/>
      <c r="AB129" s="226"/>
      <c r="AC129" s="226"/>
      <c r="AD129" s="226"/>
      <c r="AE129" s="226"/>
      <c r="AF129" s="226"/>
      <c r="AG129" s="226"/>
      <c r="AH129" s="226"/>
      <c r="AI129" s="226"/>
      <c r="AJ129" s="226"/>
      <c r="AK129" s="226"/>
      <c r="AL129" s="226"/>
      <c r="AM129" s="226"/>
      <c r="AN129" s="226"/>
      <c r="AO129" s="226"/>
      <c r="AP129" s="226"/>
      <c r="AQ129" s="226"/>
      <c r="AR129" s="226"/>
      <c r="AS129" s="226"/>
      <c r="AT129" s="226"/>
      <c r="AU129" s="226"/>
      <c r="AV129" s="226"/>
      <c r="AW129" s="226"/>
      <c r="AX129" s="226"/>
      <c r="AY129" s="226"/>
      <c r="AZ129" s="226"/>
      <c r="BA129" s="226"/>
      <c r="BB129" s="226"/>
      <c r="BC129" s="226"/>
      <c r="BD129" s="226"/>
      <c r="BE129" s="226"/>
      <c r="BF129" s="226"/>
      <c r="BG129" s="226"/>
      <c r="BH129" s="226"/>
      <c r="BI129" s="226"/>
      <c r="BJ129" s="226"/>
      <c r="BK129" s="226"/>
      <c r="BL129" s="226"/>
      <c r="BM129" s="226"/>
      <c r="BN129" s="226"/>
      <c r="BO129" s="226"/>
      <c r="BP129" s="226"/>
      <c r="BQ129" s="226"/>
      <c r="BR129" s="226"/>
      <c r="BS129" s="226"/>
      <c r="BT129" s="226"/>
    </row>
    <row r="130" spans="2:72">
      <c r="B130" s="226"/>
      <c r="C130" s="226"/>
      <c r="D130" s="226"/>
      <c r="E130" s="226"/>
      <c r="F130" s="718"/>
      <c r="G130" s="707"/>
      <c r="H130" s="707"/>
      <c r="I130" s="226"/>
      <c r="J130" s="226"/>
      <c r="K130" s="226"/>
      <c r="L130" s="226"/>
      <c r="M130" s="226"/>
      <c r="N130" s="226"/>
      <c r="O130" s="707"/>
      <c r="P130" s="226"/>
      <c r="Q130" s="226"/>
      <c r="R130" s="226"/>
      <c r="S130" s="226"/>
      <c r="T130" s="226"/>
      <c r="U130" s="226"/>
      <c r="V130" s="226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26"/>
      <c r="AJ130" s="226"/>
      <c r="AK130" s="226"/>
      <c r="AL130" s="226"/>
      <c r="AM130" s="226"/>
      <c r="AN130" s="226"/>
      <c r="AO130" s="226"/>
      <c r="AP130" s="226"/>
      <c r="AQ130" s="226"/>
      <c r="AR130" s="226"/>
      <c r="AS130" s="226"/>
      <c r="AT130" s="226"/>
      <c r="AU130" s="226"/>
      <c r="AV130" s="226"/>
      <c r="AW130" s="226"/>
      <c r="AX130" s="226"/>
      <c r="AY130" s="226"/>
      <c r="AZ130" s="226"/>
      <c r="BA130" s="226"/>
      <c r="BB130" s="226"/>
      <c r="BC130" s="226"/>
      <c r="BD130" s="226"/>
      <c r="BE130" s="226"/>
      <c r="BF130" s="226"/>
      <c r="BG130" s="226"/>
      <c r="BH130" s="226"/>
      <c r="BI130" s="226"/>
      <c r="BJ130" s="226"/>
      <c r="BK130" s="226"/>
      <c r="BL130" s="226"/>
      <c r="BM130" s="226"/>
      <c r="BN130" s="226"/>
      <c r="BO130" s="226"/>
      <c r="BP130" s="226"/>
      <c r="BQ130" s="226"/>
      <c r="BR130" s="226"/>
      <c r="BS130" s="226"/>
      <c r="BT130" s="226"/>
    </row>
    <row r="131" spans="2:72">
      <c r="B131" s="226"/>
      <c r="C131" s="226"/>
      <c r="D131" s="226"/>
      <c r="E131" s="226"/>
      <c r="F131" s="226"/>
      <c r="G131" s="707"/>
      <c r="H131" s="707"/>
      <c r="I131" s="226"/>
      <c r="J131" s="226"/>
      <c r="K131" s="226"/>
      <c r="L131" s="226"/>
      <c r="M131" s="226"/>
      <c r="N131" s="226"/>
      <c r="O131" s="707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6"/>
      <c r="AA131" s="226"/>
      <c r="AB131" s="226"/>
      <c r="AC131" s="226"/>
      <c r="AD131" s="226"/>
      <c r="AE131" s="226"/>
      <c r="AF131" s="226"/>
      <c r="AG131" s="226"/>
      <c r="AH131" s="226"/>
      <c r="AI131" s="226"/>
      <c r="AJ131" s="226"/>
      <c r="AK131" s="226"/>
      <c r="AL131" s="226"/>
      <c r="AM131" s="226"/>
      <c r="AN131" s="226"/>
      <c r="AO131" s="226"/>
      <c r="AP131" s="226"/>
      <c r="AQ131" s="226"/>
      <c r="AR131" s="226"/>
      <c r="AS131" s="226"/>
      <c r="AT131" s="226"/>
      <c r="AU131" s="226"/>
      <c r="AV131" s="226"/>
      <c r="AW131" s="226"/>
      <c r="AX131" s="226"/>
      <c r="AY131" s="226"/>
      <c r="AZ131" s="226"/>
      <c r="BA131" s="226"/>
      <c r="BB131" s="226"/>
      <c r="BC131" s="226"/>
      <c r="BD131" s="226"/>
      <c r="BE131" s="226"/>
      <c r="BF131" s="226"/>
      <c r="BG131" s="226"/>
      <c r="BH131" s="226"/>
      <c r="BI131" s="226"/>
      <c r="BJ131" s="226"/>
      <c r="BK131" s="226"/>
      <c r="BL131" s="226"/>
      <c r="BM131" s="226"/>
      <c r="BN131" s="226"/>
      <c r="BO131" s="226"/>
      <c r="BP131" s="226"/>
      <c r="BQ131" s="226"/>
      <c r="BR131" s="226"/>
      <c r="BS131" s="226"/>
      <c r="BT131" s="226"/>
    </row>
    <row r="132" spans="2:72">
      <c r="B132" s="226"/>
      <c r="C132" s="226"/>
      <c r="D132" s="226"/>
      <c r="E132" s="226"/>
      <c r="F132" s="226"/>
      <c r="G132" s="226"/>
      <c r="H132" s="707"/>
      <c r="I132" s="226"/>
      <c r="J132" s="226"/>
      <c r="K132" s="226"/>
      <c r="L132" s="226"/>
      <c r="M132" s="226"/>
      <c r="N132" s="226"/>
      <c r="O132" s="707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  <c r="AG132" s="226"/>
      <c r="AH132" s="226"/>
      <c r="AI132" s="226"/>
      <c r="AJ132" s="226"/>
      <c r="AK132" s="226"/>
      <c r="AL132" s="226"/>
      <c r="AM132" s="226"/>
      <c r="AN132" s="226"/>
      <c r="AO132" s="226"/>
      <c r="AP132" s="226"/>
      <c r="AQ132" s="226"/>
      <c r="AR132" s="226"/>
      <c r="AS132" s="226"/>
      <c r="AT132" s="226"/>
      <c r="AU132" s="226"/>
      <c r="AV132" s="226"/>
      <c r="AW132" s="226"/>
      <c r="AX132" s="226"/>
      <c r="AY132" s="226"/>
      <c r="AZ132" s="226"/>
      <c r="BA132" s="226"/>
      <c r="BB132" s="226"/>
      <c r="BC132" s="226"/>
      <c r="BD132" s="226"/>
      <c r="BE132" s="226"/>
      <c r="BF132" s="226"/>
      <c r="BG132" s="226"/>
      <c r="BH132" s="226"/>
      <c r="BI132" s="226"/>
      <c r="BJ132" s="226"/>
      <c r="BK132" s="226"/>
      <c r="BL132" s="226"/>
      <c r="BM132" s="226"/>
      <c r="BN132" s="226"/>
      <c r="BO132" s="226"/>
      <c r="BP132" s="226"/>
      <c r="BQ132" s="226"/>
      <c r="BR132" s="226"/>
      <c r="BS132" s="226"/>
      <c r="BT132" s="226"/>
    </row>
    <row r="133" spans="2:72">
      <c r="B133" s="226"/>
      <c r="C133" s="226"/>
      <c r="D133" s="226"/>
      <c r="E133" s="718"/>
      <c r="F133" s="226"/>
      <c r="G133" s="226"/>
      <c r="H133" s="707"/>
      <c r="I133" s="226"/>
      <c r="J133" s="226"/>
      <c r="K133" s="226"/>
      <c r="L133" s="226"/>
      <c r="M133" s="226"/>
      <c r="N133" s="226"/>
      <c r="O133" s="707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6"/>
      <c r="AA133" s="226"/>
      <c r="AB133" s="226"/>
      <c r="AC133" s="226"/>
      <c r="AD133" s="226"/>
      <c r="AE133" s="226"/>
      <c r="AF133" s="226"/>
      <c r="AG133" s="226"/>
      <c r="AH133" s="226"/>
      <c r="AI133" s="226"/>
      <c r="AJ133" s="226"/>
      <c r="AK133" s="226"/>
      <c r="AL133" s="226"/>
      <c r="AM133" s="226"/>
      <c r="AN133" s="226"/>
      <c r="AO133" s="226"/>
      <c r="AP133" s="226"/>
      <c r="AQ133" s="226"/>
      <c r="AR133" s="226"/>
      <c r="AS133" s="226"/>
      <c r="AT133" s="226"/>
      <c r="AU133" s="226"/>
      <c r="AV133" s="226"/>
      <c r="AW133" s="226"/>
      <c r="AX133" s="226"/>
      <c r="AY133" s="226"/>
      <c r="AZ133" s="226"/>
      <c r="BA133" s="226"/>
      <c r="BB133" s="226"/>
      <c r="BC133" s="226"/>
      <c r="BD133" s="226"/>
      <c r="BE133" s="226"/>
      <c r="BF133" s="226"/>
      <c r="BG133" s="226"/>
      <c r="BH133" s="226"/>
      <c r="BI133" s="226"/>
      <c r="BJ133" s="226"/>
      <c r="BK133" s="226"/>
      <c r="BL133" s="226"/>
      <c r="BM133" s="226"/>
      <c r="BN133" s="226"/>
      <c r="BO133" s="226"/>
      <c r="BP133" s="226"/>
      <c r="BQ133" s="226"/>
      <c r="BR133" s="226"/>
      <c r="BS133" s="226"/>
      <c r="BT133" s="226"/>
    </row>
    <row r="134" spans="2:72">
      <c r="B134" s="719"/>
      <c r="C134" s="719"/>
      <c r="D134" s="226"/>
      <c r="E134" s="226"/>
      <c r="F134" s="45"/>
      <c r="G134" s="45"/>
      <c r="H134" s="707"/>
      <c r="I134" s="226"/>
      <c r="J134" s="226"/>
      <c r="K134" s="226"/>
      <c r="L134" s="226"/>
      <c r="M134" s="226"/>
      <c r="N134" s="226"/>
      <c r="O134" s="707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6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226"/>
      <c r="AO134" s="226"/>
      <c r="AP134" s="226"/>
      <c r="AQ134" s="226"/>
      <c r="AR134" s="226"/>
      <c r="AS134" s="226"/>
      <c r="AT134" s="226"/>
      <c r="AU134" s="226"/>
      <c r="AV134" s="226"/>
      <c r="AW134" s="226"/>
      <c r="AX134" s="226"/>
      <c r="AY134" s="226"/>
      <c r="AZ134" s="226"/>
      <c r="BA134" s="226"/>
      <c r="BB134" s="226"/>
      <c r="BC134" s="226"/>
      <c r="BD134" s="226"/>
      <c r="BE134" s="226"/>
      <c r="BF134" s="226"/>
      <c r="BG134" s="226"/>
      <c r="BH134" s="226"/>
      <c r="BI134" s="226"/>
      <c r="BJ134" s="226"/>
      <c r="BK134" s="226"/>
      <c r="BL134" s="226"/>
      <c r="BM134" s="226"/>
      <c r="BN134" s="226"/>
      <c r="BO134" s="226"/>
      <c r="BP134" s="226"/>
      <c r="BQ134" s="226"/>
      <c r="BR134" s="226"/>
      <c r="BS134" s="226"/>
      <c r="BT134" s="226"/>
    </row>
    <row r="135" spans="2:72">
      <c r="B135" s="719"/>
      <c r="C135" s="719"/>
      <c r="D135" s="45"/>
      <c r="E135" s="45"/>
      <c r="F135" s="719"/>
      <c r="G135" s="719"/>
      <c r="H135" s="707"/>
      <c r="I135" s="226"/>
      <c r="J135" s="226"/>
      <c r="K135" s="226"/>
      <c r="L135" s="226"/>
      <c r="M135" s="226"/>
      <c r="N135" s="226"/>
      <c r="O135" s="707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719"/>
      <c r="AB135" s="719"/>
      <c r="AC135" s="45"/>
      <c r="AD135" s="45"/>
      <c r="AE135" s="45"/>
      <c r="AF135" s="45"/>
      <c r="AG135" s="45"/>
      <c r="AH135" s="719"/>
      <c r="AI135" s="719"/>
      <c r="AJ135" s="719"/>
      <c r="AK135" s="45"/>
      <c r="AL135" s="45"/>
      <c r="AM135" s="45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AY135" s="226"/>
      <c r="AZ135" s="226"/>
      <c r="BA135" s="226"/>
      <c r="BB135" s="226"/>
      <c r="BC135" s="226"/>
      <c r="BD135" s="226"/>
      <c r="BE135" s="226"/>
      <c r="BF135" s="226"/>
      <c r="BG135" s="226"/>
      <c r="BH135" s="226"/>
      <c r="BI135" s="226"/>
      <c r="BJ135" s="226"/>
      <c r="BK135" s="226"/>
      <c r="BL135" s="226"/>
      <c r="BM135" s="226"/>
      <c r="BN135" s="226"/>
      <c r="BO135" s="226"/>
      <c r="BP135" s="226"/>
      <c r="BQ135" s="226"/>
      <c r="BR135" s="226"/>
      <c r="BS135" s="226"/>
      <c r="BT135" s="226"/>
    </row>
    <row r="136" spans="2:72">
      <c r="B136" s="719"/>
      <c r="C136" s="719"/>
      <c r="D136" s="719"/>
      <c r="E136" s="719"/>
      <c r="F136" s="45"/>
      <c r="G136" s="45"/>
      <c r="H136" s="707"/>
      <c r="I136" s="226"/>
      <c r="J136" s="226"/>
      <c r="K136" s="226"/>
      <c r="L136" s="226"/>
      <c r="M136" s="226"/>
      <c r="N136" s="226"/>
      <c r="O136" s="707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226"/>
      <c r="AO136" s="226"/>
      <c r="AP136" s="226"/>
      <c r="AQ136" s="226"/>
      <c r="AR136" s="226"/>
      <c r="AS136" s="226"/>
      <c r="AT136" s="226"/>
      <c r="AU136" s="226"/>
      <c r="AV136" s="226"/>
      <c r="AW136" s="226"/>
      <c r="AX136" s="226"/>
      <c r="AY136" s="226"/>
      <c r="AZ136" s="226"/>
      <c r="BA136" s="226"/>
      <c r="BB136" s="226"/>
      <c r="BC136" s="226"/>
      <c r="BD136" s="226"/>
      <c r="BE136" s="226"/>
      <c r="BF136" s="226"/>
      <c r="BG136" s="226"/>
      <c r="BH136" s="226"/>
      <c r="BI136" s="226"/>
      <c r="BJ136" s="226"/>
      <c r="BK136" s="226"/>
      <c r="BL136" s="226"/>
      <c r="BM136" s="226"/>
      <c r="BN136" s="226"/>
      <c r="BO136" s="226"/>
      <c r="BP136" s="226"/>
      <c r="BQ136" s="226"/>
      <c r="BR136" s="226"/>
      <c r="BS136" s="226"/>
      <c r="BT136" s="226"/>
    </row>
    <row r="137" spans="2:72">
      <c r="B137" s="226"/>
      <c r="C137" s="226"/>
      <c r="D137" s="45"/>
      <c r="E137" s="45"/>
      <c r="F137" s="226"/>
      <c r="G137" s="226"/>
      <c r="H137" s="707"/>
      <c r="I137" s="226"/>
      <c r="J137" s="226"/>
      <c r="K137" s="226"/>
      <c r="L137" s="226"/>
      <c r="M137" s="226"/>
      <c r="N137" s="226"/>
      <c r="O137" s="707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  <c r="AE137" s="226"/>
      <c r="AF137" s="226"/>
      <c r="AG137" s="226"/>
      <c r="AH137" s="226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AY137" s="226"/>
      <c r="AZ137" s="226"/>
      <c r="BA137" s="226"/>
      <c r="BB137" s="226"/>
      <c r="BC137" s="226"/>
      <c r="BD137" s="226"/>
      <c r="BE137" s="226"/>
      <c r="BF137" s="226"/>
      <c r="BG137" s="226"/>
      <c r="BH137" s="226"/>
      <c r="BI137" s="226"/>
      <c r="BJ137" s="226"/>
      <c r="BK137" s="226"/>
      <c r="BL137" s="226"/>
      <c r="BM137" s="226"/>
      <c r="BN137" s="226"/>
      <c r="BO137" s="226"/>
      <c r="BP137" s="226"/>
      <c r="BQ137" s="226"/>
      <c r="BR137" s="226"/>
      <c r="BS137" s="226"/>
      <c r="BT137" s="226"/>
    </row>
    <row r="138" spans="2:72">
      <c r="B138" s="226"/>
      <c r="C138" s="226"/>
      <c r="D138" s="226"/>
      <c r="E138" s="226"/>
      <c r="F138" s="226"/>
      <c r="G138" s="226"/>
      <c r="H138" s="707"/>
      <c r="I138" s="226"/>
      <c r="J138" s="226"/>
      <c r="K138" s="226"/>
      <c r="L138" s="226"/>
      <c r="M138" s="226"/>
      <c r="N138" s="226"/>
      <c r="O138" s="707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</row>
    <row r="140" spans="2:72">
      <c r="B140" s="226"/>
      <c r="C140" s="226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45"/>
      <c r="Q140" s="45"/>
      <c r="R140" s="45"/>
      <c r="S140" s="45"/>
      <c r="T140" s="45"/>
      <c r="U140" s="45"/>
      <c r="V140" s="45"/>
      <c r="W140" s="45"/>
      <c r="X140" s="45"/>
      <c r="Y140" s="226"/>
      <c r="Z140" s="45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</row>
    <row r="141" spans="2:72" s="167" customFormat="1">
      <c r="B141" s="226"/>
      <c r="C141" s="226"/>
      <c r="D141" s="226"/>
      <c r="E141" s="226"/>
      <c r="F141" s="226"/>
      <c r="G141" s="226"/>
      <c r="H141" s="45"/>
      <c r="I141" s="226"/>
      <c r="J141" s="226"/>
      <c r="K141" s="226"/>
      <c r="L141" s="226"/>
      <c r="M141" s="226"/>
      <c r="N141" s="226"/>
      <c r="O141" s="45"/>
      <c r="P141" s="719"/>
      <c r="Q141" s="719"/>
      <c r="R141" s="719"/>
      <c r="S141" s="719"/>
      <c r="T141" s="719"/>
      <c r="U141" s="719"/>
      <c r="V141" s="719"/>
      <c r="W141" s="719"/>
      <c r="X141" s="719"/>
      <c r="Y141" s="45"/>
      <c r="Z141" s="719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  <c r="BD141" s="45"/>
      <c r="BE141" s="45"/>
      <c r="BF141" s="45"/>
      <c r="BG141" s="45"/>
      <c r="BH141" s="45"/>
      <c r="BI141" s="45"/>
      <c r="BJ141" s="45"/>
      <c r="BK141" s="45"/>
      <c r="BL141" s="45"/>
      <c r="BM141" s="45"/>
      <c r="BN141" s="45"/>
      <c r="BO141" s="45"/>
      <c r="BP141" s="45"/>
      <c r="BQ141" s="45"/>
      <c r="BR141" s="45"/>
      <c r="BS141" s="45"/>
      <c r="BT141" s="45"/>
    </row>
    <row r="142" spans="2:72" s="167" customFormat="1">
      <c r="B142" s="226"/>
      <c r="C142" s="226"/>
      <c r="D142" s="226"/>
      <c r="E142" s="226"/>
      <c r="F142" s="226"/>
      <c r="G142" s="226"/>
      <c r="H142" s="719"/>
      <c r="I142" s="226"/>
      <c r="J142" s="226"/>
      <c r="K142" s="226"/>
      <c r="L142" s="226"/>
      <c r="M142" s="226"/>
      <c r="N142" s="226"/>
      <c r="O142" s="719"/>
      <c r="P142" s="45"/>
      <c r="Q142" s="45"/>
      <c r="R142" s="45"/>
      <c r="S142" s="45"/>
      <c r="T142" s="45"/>
      <c r="U142" s="45"/>
      <c r="V142" s="45"/>
      <c r="W142" s="45"/>
      <c r="X142" s="45"/>
      <c r="Y142" s="719"/>
      <c r="Z142" s="45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45"/>
      <c r="AO142" s="45"/>
      <c r="AP142" s="45"/>
      <c r="AQ142" s="45"/>
      <c r="AR142" s="45"/>
      <c r="AS142" s="45"/>
      <c r="AT142" s="45"/>
      <c r="AU142" s="45"/>
      <c r="AV142" s="45"/>
      <c r="AW142" s="45"/>
      <c r="AX142" s="45"/>
      <c r="AY142" s="45"/>
      <c r="AZ142" s="45"/>
      <c r="BA142" s="45"/>
      <c r="BB142" s="45"/>
      <c r="BC142" s="45"/>
      <c r="BD142" s="45"/>
      <c r="BE142" s="45"/>
      <c r="BF142" s="45"/>
      <c r="BG142" s="45"/>
      <c r="BH142" s="45"/>
      <c r="BI142" s="45"/>
      <c r="BJ142" s="45"/>
      <c r="BK142" s="45"/>
      <c r="BL142" s="45"/>
      <c r="BM142" s="45"/>
      <c r="BN142" s="45"/>
      <c r="BO142" s="45"/>
      <c r="BP142" s="45"/>
      <c r="BQ142" s="45"/>
      <c r="BR142" s="45"/>
      <c r="BS142" s="45"/>
      <c r="BT142" s="45"/>
    </row>
    <row r="143" spans="2:72" s="167" customFormat="1">
      <c r="B143" s="226"/>
      <c r="C143" s="226"/>
      <c r="D143" s="226"/>
      <c r="E143" s="226"/>
      <c r="F143" s="226"/>
      <c r="G143" s="226"/>
      <c r="H143" s="45"/>
      <c r="I143" s="226"/>
      <c r="J143" s="226"/>
      <c r="K143" s="226"/>
      <c r="L143" s="226"/>
      <c r="M143" s="226"/>
      <c r="N143" s="226"/>
      <c r="O143" s="45"/>
      <c r="P143" s="226"/>
      <c r="Q143" s="226"/>
      <c r="R143" s="226"/>
      <c r="S143" s="226"/>
      <c r="T143" s="226"/>
      <c r="U143" s="226"/>
      <c r="V143" s="226"/>
      <c r="W143" s="226"/>
      <c r="X143" s="226"/>
      <c r="Y143" s="45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  <c r="BP143" s="45"/>
      <c r="BQ143" s="45"/>
      <c r="BR143" s="45"/>
      <c r="BS143" s="45"/>
      <c r="BT143" s="45"/>
    </row>
    <row r="144" spans="2:72">
      <c r="B144" s="226"/>
      <c r="C144" s="226"/>
      <c r="D144" s="226"/>
      <c r="E144" s="226"/>
      <c r="F144" s="226"/>
      <c r="G144" s="226"/>
      <c r="H144" s="226"/>
      <c r="I144" s="232"/>
      <c r="J144" s="232"/>
      <c r="K144" s="232"/>
      <c r="L144" s="232"/>
      <c r="M144" s="232"/>
      <c r="N144" s="232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6"/>
      <c r="AA144" s="226"/>
      <c r="AB144" s="226"/>
      <c r="AC144" s="226"/>
      <c r="AD144" s="226"/>
      <c r="AE144" s="226"/>
      <c r="AF144" s="226"/>
      <c r="AG144" s="226"/>
      <c r="AH144" s="226"/>
      <c r="AI144" s="226"/>
      <c r="AJ144" s="226"/>
      <c r="AK144" s="226"/>
      <c r="AL144" s="226"/>
      <c r="AM144" s="226"/>
      <c r="AN144" s="226"/>
      <c r="AO144" s="226"/>
      <c r="AP144" s="226"/>
      <c r="AQ144" s="226"/>
      <c r="AR144" s="226"/>
      <c r="AS144" s="226"/>
      <c r="AT144" s="226"/>
      <c r="AU144" s="226"/>
      <c r="AV144" s="226"/>
      <c r="AW144" s="226"/>
      <c r="AX144" s="226"/>
      <c r="AY144" s="226"/>
      <c r="AZ144" s="226"/>
      <c r="BA144" s="226"/>
      <c r="BB144" s="226"/>
      <c r="BC144" s="226"/>
      <c r="BD144" s="226"/>
      <c r="BE144" s="226"/>
      <c r="BF144" s="226"/>
      <c r="BG144" s="226"/>
      <c r="BH144" s="226"/>
      <c r="BI144" s="226"/>
      <c r="BJ144" s="226"/>
      <c r="BK144" s="226"/>
      <c r="BL144" s="226"/>
      <c r="BM144" s="226"/>
      <c r="BN144" s="226"/>
      <c r="BO144" s="226"/>
      <c r="BP144" s="226"/>
      <c r="BQ144" s="226"/>
      <c r="BR144" s="226"/>
      <c r="BS144" s="226"/>
      <c r="BT144" s="226"/>
    </row>
    <row r="145" spans="2:39">
      <c r="B145" s="226"/>
      <c r="C145" s="226"/>
      <c r="D145" s="226"/>
      <c r="E145" s="226"/>
      <c r="F145" s="226"/>
      <c r="G145" s="226"/>
      <c r="H145" s="226"/>
      <c r="I145" s="232"/>
      <c r="J145" s="232"/>
      <c r="K145" s="232"/>
      <c r="L145" s="232"/>
      <c r="M145" s="232"/>
      <c r="N145" s="232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6"/>
      <c r="AA145" s="226"/>
      <c r="AB145" s="226"/>
      <c r="AC145" s="226"/>
      <c r="AD145" s="226"/>
      <c r="AE145" s="226"/>
      <c r="AF145" s="226"/>
      <c r="AG145" s="226"/>
      <c r="AH145" s="226"/>
      <c r="AI145" s="226"/>
      <c r="AJ145" s="226"/>
      <c r="AK145" s="226"/>
      <c r="AL145" s="226"/>
      <c r="AM145" s="226"/>
    </row>
    <row r="146" spans="2:39">
      <c r="B146" s="226"/>
      <c r="C146" s="226"/>
      <c r="D146" s="226"/>
      <c r="E146" s="226"/>
      <c r="F146" s="226"/>
      <c r="G146" s="226"/>
      <c r="H146" s="226"/>
      <c r="I146" s="232"/>
      <c r="J146" s="232"/>
      <c r="K146" s="232"/>
      <c r="L146" s="232"/>
      <c r="M146" s="232"/>
      <c r="N146" s="232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</row>
    <row r="147" spans="2:39">
      <c r="B147" s="226"/>
      <c r="C147" s="226"/>
      <c r="D147" s="226"/>
      <c r="E147" s="226"/>
      <c r="F147" s="226"/>
      <c r="G147" s="226"/>
      <c r="H147" s="226"/>
      <c r="I147" s="720"/>
      <c r="J147" s="720"/>
      <c r="K147" s="720"/>
      <c r="L147" s="720"/>
      <c r="M147" s="720"/>
      <c r="N147" s="720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6"/>
      <c r="AA147" s="226"/>
      <c r="AB147" s="226"/>
      <c r="AC147" s="226"/>
      <c r="AD147" s="226"/>
      <c r="AE147" s="226"/>
      <c r="AF147" s="226"/>
      <c r="AG147" s="226"/>
      <c r="AH147" s="226"/>
      <c r="AI147" s="226"/>
      <c r="AJ147" s="226"/>
      <c r="AK147" s="226"/>
      <c r="AL147" s="226"/>
      <c r="AM147" s="226"/>
    </row>
    <row r="148" spans="2:39">
      <c r="B148" s="226"/>
      <c r="C148" s="226"/>
      <c r="D148" s="226"/>
      <c r="E148" s="226"/>
      <c r="F148" s="226"/>
      <c r="G148" s="226"/>
      <c r="H148" s="226"/>
      <c r="I148" s="720"/>
      <c r="J148" s="720"/>
      <c r="K148" s="720"/>
      <c r="L148" s="720"/>
      <c r="M148" s="720"/>
      <c r="N148" s="720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226"/>
      <c r="AG148" s="226"/>
      <c r="AH148" s="226"/>
      <c r="AI148" s="226"/>
      <c r="AJ148" s="226"/>
      <c r="AK148" s="226"/>
      <c r="AL148" s="226"/>
      <c r="AM148" s="226"/>
    </row>
    <row r="156" spans="2:39">
      <c r="B156" s="232"/>
      <c r="C156" s="232"/>
      <c r="D156" s="226"/>
      <c r="E156" s="226"/>
      <c r="F156" s="232"/>
      <c r="G156" s="232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32"/>
      <c r="AB156" s="232"/>
      <c r="AC156" s="232"/>
      <c r="AD156" s="232"/>
      <c r="AE156" s="232"/>
      <c r="AF156" s="232"/>
      <c r="AG156" s="232"/>
      <c r="AH156" s="232"/>
      <c r="AI156" s="232"/>
      <c r="AJ156" s="232"/>
      <c r="AK156" s="232"/>
      <c r="AL156" s="232"/>
      <c r="AM156" s="232"/>
    </row>
    <row r="157" spans="2:39">
      <c r="B157" s="232"/>
      <c r="C157" s="232"/>
      <c r="D157" s="232"/>
      <c r="E157" s="232"/>
      <c r="F157" s="232"/>
      <c r="G157" s="232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32"/>
      <c r="AB157" s="232"/>
      <c r="AC157" s="232"/>
      <c r="AD157" s="232"/>
      <c r="AE157" s="232"/>
      <c r="AF157" s="232"/>
      <c r="AG157" s="232"/>
      <c r="AH157" s="232"/>
      <c r="AI157" s="232"/>
      <c r="AJ157" s="232"/>
      <c r="AK157" s="232"/>
      <c r="AL157" s="232"/>
      <c r="AM157" s="232"/>
    </row>
    <row r="158" spans="2:39">
      <c r="B158" s="232"/>
      <c r="C158" s="232"/>
      <c r="D158" s="232"/>
      <c r="E158" s="232"/>
      <c r="F158" s="232"/>
      <c r="G158" s="232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32"/>
      <c r="AB158" s="232"/>
      <c r="AC158" s="232"/>
      <c r="AD158" s="232"/>
      <c r="AE158" s="232"/>
      <c r="AF158" s="232"/>
      <c r="AG158" s="232"/>
      <c r="AH158" s="232"/>
      <c r="AI158" s="232"/>
      <c r="AJ158" s="232"/>
      <c r="AK158" s="232"/>
      <c r="AL158" s="232"/>
      <c r="AM158" s="232"/>
    </row>
    <row r="159" spans="2:39">
      <c r="B159" s="232"/>
      <c r="C159" s="232"/>
      <c r="D159" s="232"/>
      <c r="E159" s="232"/>
      <c r="F159" s="709"/>
      <c r="G159" s="720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32"/>
      <c r="AB159" s="232"/>
      <c r="AC159" s="232"/>
      <c r="AD159" s="232"/>
      <c r="AE159" s="232"/>
      <c r="AF159" s="232"/>
      <c r="AG159" s="232"/>
      <c r="AH159" s="232"/>
      <c r="AI159" s="232"/>
      <c r="AJ159" s="232"/>
      <c r="AK159" s="232"/>
      <c r="AL159" s="232"/>
      <c r="AM159" s="232"/>
    </row>
    <row r="160" spans="2:39">
      <c r="B160" s="232"/>
      <c r="C160" s="232"/>
      <c r="D160" s="721"/>
      <c r="E160" s="50"/>
      <c r="F160" s="709"/>
      <c r="G160" s="720"/>
      <c r="H160" s="226"/>
      <c r="I160" s="226"/>
      <c r="J160" s="226"/>
      <c r="K160" s="226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6"/>
      <c r="AA160" s="232"/>
      <c r="AB160" s="232"/>
      <c r="AC160" s="232"/>
      <c r="AD160" s="232"/>
      <c r="AE160" s="232"/>
      <c r="AF160" s="232"/>
      <c r="AG160" s="232"/>
      <c r="AH160" s="232"/>
      <c r="AI160" s="232"/>
      <c r="AJ160" s="232"/>
      <c r="AK160" s="232"/>
      <c r="AL160" s="232"/>
      <c r="AM160" s="232"/>
    </row>
    <row r="161" spans="2:44">
      <c r="B161" s="226"/>
      <c r="C161" s="226"/>
      <c r="D161" s="721"/>
      <c r="E161" s="50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  <c r="AD161" s="226"/>
      <c r="AE161" s="226"/>
      <c r="AF161" s="226"/>
      <c r="AG161" s="226"/>
      <c r="AH161" s="226"/>
      <c r="AI161" s="226"/>
      <c r="AJ161" s="226"/>
      <c r="AK161" s="226"/>
      <c r="AL161" s="226"/>
      <c r="AM161" s="226"/>
      <c r="AN161" s="226"/>
      <c r="AO161" s="226"/>
      <c r="AP161" s="226"/>
      <c r="AQ161" s="226"/>
      <c r="AR161" s="226"/>
    </row>
    <row r="162" spans="2:44">
      <c r="B162" s="226"/>
      <c r="C162" s="226"/>
      <c r="D162" s="226"/>
      <c r="E162" s="226"/>
      <c r="F162" s="226"/>
      <c r="G162" s="226"/>
      <c r="H162" s="226"/>
      <c r="I162" s="226"/>
      <c r="J162" s="226"/>
      <c r="K162" s="226"/>
      <c r="L162" s="226"/>
      <c r="M162" s="226"/>
      <c r="N162" s="226"/>
      <c r="O162" s="226"/>
      <c r="P162" s="232"/>
      <c r="Q162" s="232"/>
      <c r="R162" s="232"/>
      <c r="S162" s="232"/>
      <c r="T162" s="232"/>
      <c r="U162" s="232"/>
      <c r="V162" s="232"/>
      <c r="W162" s="232"/>
      <c r="X162" s="232"/>
      <c r="Y162" s="226"/>
      <c r="Z162" s="232"/>
      <c r="AA162" s="226"/>
      <c r="AB162" s="226"/>
      <c r="AC162" s="226"/>
      <c r="AD162" s="226"/>
      <c r="AE162" s="226"/>
      <c r="AF162" s="226"/>
      <c r="AG162" s="226"/>
      <c r="AH162" s="226"/>
      <c r="AI162" s="226"/>
      <c r="AJ162" s="226"/>
      <c r="AK162" s="226"/>
      <c r="AL162" s="226"/>
      <c r="AM162" s="226"/>
      <c r="AN162" s="226"/>
      <c r="AO162" s="226"/>
      <c r="AP162" s="226"/>
      <c r="AQ162" s="226"/>
      <c r="AR162" s="226"/>
    </row>
    <row r="163" spans="2:44" s="126" customFormat="1">
      <c r="B163" s="226"/>
      <c r="C163" s="226"/>
      <c r="D163" s="226"/>
      <c r="E163" s="226"/>
      <c r="F163" s="226"/>
      <c r="G163" s="226"/>
      <c r="H163" s="232"/>
      <c r="I163" s="226"/>
      <c r="J163" s="226"/>
      <c r="K163" s="226"/>
      <c r="L163" s="226"/>
      <c r="M163" s="226"/>
      <c r="N163" s="226"/>
      <c r="O163" s="232"/>
      <c r="P163" s="232"/>
      <c r="Q163" s="232"/>
      <c r="R163" s="232"/>
      <c r="S163" s="232"/>
      <c r="T163" s="232"/>
      <c r="U163" s="232"/>
      <c r="V163" s="232"/>
      <c r="W163" s="232"/>
      <c r="X163" s="232"/>
      <c r="Y163" s="232"/>
      <c r="Z163" s="232"/>
      <c r="AA163" s="226"/>
      <c r="AB163" s="226"/>
      <c r="AC163" s="226"/>
      <c r="AD163" s="226"/>
      <c r="AE163" s="226"/>
      <c r="AF163" s="226"/>
      <c r="AG163" s="226"/>
      <c r="AH163" s="226"/>
      <c r="AI163" s="226"/>
      <c r="AJ163" s="226"/>
      <c r="AK163" s="226"/>
      <c r="AL163" s="226"/>
      <c r="AM163" s="226"/>
      <c r="AN163" s="232"/>
      <c r="AO163" s="232"/>
      <c r="AP163" s="232"/>
      <c r="AQ163" s="232"/>
      <c r="AR163" s="232"/>
    </row>
    <row r="164" spans="2:44" s="126" customFormat="1">
      <c r="B164" s="226"/>
      <c r="C164" s="226"/>
      <c r="D164" s="226"/>
      <c r="E164" s="226"/>
      <c r="F164" s="226"/>
      <c r="G164" s="226"/>
      <c r="H164" s="232"/>
      <c r="I164" s="226"/>
      <c r="J164" s="226"/>
      <c r="K164" s="226"/>
      <c r="L164" s="226"/>
      <c r="M164" s="226"/>
      <c r="N164" s="226"/>
      <c r="O164" s="232"/>
      <c r="P164" s="232"/>
      <c r="Q164" s="232"/>
      <c r="R164" s="232"/>
      <c r="S164" s="232"/>
      <c r="T164" s="232"/>
      <c r="U164" s="232"/>
      <c r="V164" s="232"/>
      <c r="W164" s="232"/>
      <c r="X164" s="232"/>
      <c r="Y164" s="232"/>
      <c r="Z164" s="232"/>
      <c r="AA164" s="226"/>
      <c r="AB164" s="226"/>
      <c r="AC164" s="226"/>
      <c r="AD164" s="226"/>
      <c r="AE164" s="226"/>
      <c r="AF164" s="226"/>
      <c r="AG164" s="226"/>
      <c r="AH164" s="226"/>
      <c r="AI164" s="226"/>
      <c r="AJ164" s="226"/>
      <c r="AK164" s="226"/>
      <c r="AL164" s="226"/>
      <c r="AM164" s="226"/>
      <c r="AN164" s="232"/>
      <c r="AO164" s="232"/>
      <c r="AP164" s="232"/>
      <c r="AQ164" s="232"/>
      <c r="AR164" s="232"/>
    </row>
    <row r="165" spans="2:44" s="126" customFormat="1">
      <c r="B165" s="226"/>
      <c r="C165" s="226"/>
      <c r="D165" s="226"/>
      <c r="E165" s="226"/>
      <c r="F165" s="226"/>
      <c r="G165" s="226"/>
      <c r="H165" s="232"/>
      <c r="I165" s="226"/>
      <c r="J165" s="226"/>
      <c r="K165" s="226"/>
      <c r="L165" s="226"/>
      <c r="M165" s="226"/>
      <c r="N165" s="226"/>
      <c r="O165" s="232"/>
      <c r="P165" s="232"/>
      <c r="Q165" s="232"/>
      <c r="R165" s="232"/>
      <c r="S165" s="232"/>
      <c r="T165" s="232"/>
      <c r="U165" s="232"/>
      <c r="V165" s="232"/>
      <c r="W165" s="232"/>
      <c r="X165" s="232"/>
      <c r="Y165" s="232"/>
      <c r="Z165" s="232"/>
      <c r="AA165" s="226"/>
      <c r="AB165" s="226"/>
      <c r="AC165" s="226"/>
      <c r="AD165" s="226"/>
      <c r="AE165" s="226"/>
      <c r="AF165" s="226"/>
      <c r="AG165" s="226"/>
      <c r="AH165" s="226"/>
      <c r="AI165" s="226"/>
      <c r="AJ165" s="226"/>
      <c r="AK165" s="226"/>
      <c r="AL165" s="226"/>
      <c r="AM165" s="226"/>
      <c r="AN165" s="232"/>
      <c r="AO165" s="232"/>
      <c r="AP165" s="232"/>
      <c r="AQ165" s="232"/>
      <c r="AR165" s="232"/>
    </row>
    <row r="166" spans="2:44" s="126" customFormat="1">
      <c r="B166" s="226"/>
      <c r="C166" s="226"/>
      <c r="D166" s="226"/>
      <c r="E166" s="226"/>
      <c r="F166" s="226"/>
      <c r="G166" s="226"/>
      <c r="H166" s="720"/>
      <c r="I166" s="226"/>
      <c r="J166" s="226"/>
      <c r="K166" s="226"/>
      <c r="L166" s="226"/>
      <c r="M166" s="226"/>
      <c r="N166" s="226"/>
      <c r="O166" s="720"/>
      <c r="P166" s="232"/>
      <c r="Q166" s="232"/>
      <c r="R166" s="232"/>
      <c r="S166" s="232"/>
      <c r="T166" s="232"/>
      <c r="U166" s="232"/>
      <c r="V166" s="232"/>
      <c r="W166" s="232"/>
      <c r="X166" s="232"/>
      <c r="Y166" s="232"/>
      <c r="Z166" s="232"/>
      <c r="AA166" s="226"/>
      <c r="AB166" s="226"/>
      <c r="AC166" s="226"/>
      <c r="AD166" s="226"/>
      <c r="AE166" s="226"/>
      <c r="AF166" s="226"/>
      <c r="AG166" s="226"/>
      <c r="AH166" s="226"/>
      <c r="AI166" s="226"/>
      <c r="AJ166" s="226"/>
      <c r="AK166" s="226"/>
      <c r="AL166" s="226"/>
      <c r="AM166" s="226"/>
      <c r="AN166" s="232"/>
      <c r="AO166" s="232"/>
      <c r="AP166" s="232"/>
      <c r="AQ166" s="226"/>
      <c r="AR166" s="226"/>
    </row>
    <row r="167" spans="2:44" s="126" customFormat="1">
      <c r="B167" s="226"/>
      <c r="C167" s="226"/>
      <c r="D167" s="226"/>
      <c r="E167" s="226"/>
      <c r="F167" s="226"/>
      <c r="G167" s="226"/>
      <c r="H167" s="720"/>
      <c r="I167" s="226"/>
      <c r="J167" s="226"/>
      <c r="K167" s="226"/>
      <c r="L167" s="226"/>
      <c r="M167" s="226"/>
      <c r="N167" s="226"/>
      <c r="O167" s="720"/>
      <c r="P167" s="226"/>
      <c r="Q167" s="226"/>
      <c r="R167" s="226"/>
      <c r="S167" s="226"/>
      <c r="T167" s="226"/>
      <c r="U167" s="226"/>
      <c r="V167" s="226"/>
      <c r="W167" s="226"/>
      <c r="X167" s="226"/>
      <c r="Y167" s="232"/>
      <c r="Z167" s="226"/>
      <c r="AA167" s="226"/>
      <c r="AB167" s="226"/>
      <c r="AC167" s="226"/>
      <c r="AD167" s="226"/>
      <c r="AE167" s="226"/>
      <c r="AF167" s="226"/>
      <c r="AG167" s="226"/>
      <c r="AH167" s="226"/>
      <c r="AI167" s="226"/>
      <c r="AJ167" s="226"/>
      <c r="AK167" s="226"/>
      <c r="AL167" s="226"/>
      <c r="AM167" s="226"/>
      <c r="AN167" s="232"/>
      <c r="AO167" s="232"/>
      <c r="AP167" s="232"/>
      <c r="AQ167" s="226"/>
      <c r="AR167" s="226"/>
    </row>
  </sheetData>
  <pageMargins left="0.7" right="0.7" top="0.75" bottom="0.75" header="0.3" footer="0.3"/>
  <pageSetup scale="52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E8A4DDA68A38449C74383BD20B03A9" ma:contentTypeVersion="8" ma:contentTypeDescription="Create a new document." ma:contentTypeScope="" ma:versionID="ba5fb0c00eb79bcfcdd5c4a7b234aabe">
  <xsd:schema xmlns:xsd="http://www.w3.org/2001/XMLSchema" xmlns:xs="http://www.w3.org/2001/XMLSchema" xmlns:p="http://schemas.microsoft.com/office/2006/metadata/properties" xmlns:ns1="http://schemas.microsoft.com/sharepoint/v3" xmlns:ns2="bf3c4443-ebf4-4b21-a429-7b711626884a" xmlns:ns3="5630a6f2-8a5b-4549-9ebb-b6baae0e80d7" targetNamespace="http://schemas.microsoft.com/office/2006/metadata/properties" ma:root="true" ma:fieldsID="e7c4bf4343678d519505dee41f0c18c6" ns1:_="" ns2:_="" ns3:_="">
    <xsd:import namespace="http://schemas.microsoft.com/sharepoint/v3"/>
    <xsd:import namespace="bf3c4443-ebf4-4b21-a429-7b711626884a"/>
    <xsd:import namespace="5630a6f2-8a5b-4549-9ebb-b6baae0e80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c4443-ebf4-4b21-a429-7b71162688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30a6f2-8a5b-4549-9ebb-b6baae0e80d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25CDF5-3D83-4B99-9F9C-E2E3E91628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f3c4443-ebf4-4b21-a429-7b711626884a"/>
    <ds:schemaRef ds:uri="5630a6f2-8a5b-4549-9ebb-b6baae0e80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81ED93-5C67-4FFF-A9F7-0B6C01781A51}">
  <ds:schemaRefs>
    <ds:schemaRef ds:uri="http://purl.org/dc/dcmitype/"/>
    <ds:schemaRef ds:uri="http://schemas.microsoft.com/office/2006/documentManagement/types"/>
    <ds:schemaRef ds:uri="http://purl.org/dc/terms/"/>
    <ds:schemaRef ds:uri="http://purl.org/dc/elements/1.1/"/>
    <ds:schemaRef ds:uri="http://schemas.microsoft.com/sharepoint/v3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5630a6f2-8a5b-4549-9ebb-b6baae0e80d7"/>
    <ds:schemaRef ds:uri="bf3c4443-ebf4-4b21-a429-7b711626884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AA1E2B5-13AE-4A3F-93F6-DBDDB0F8AF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38</vt:i4>
      </vt:variant>
    </vt:vector>
  </HeadingPairs>
  <TitlesOfParts>
    <vt:vector size="53" baseType="lpstr">
      <vt:lpstr>3 Year Graduated -&lt;200kW</vt:lpstr>
      <vt:lpstr>3 Year Graduated - &gt;200 kW</vt:lpstr>
      <vt:lpstr>Rate Components</vt:lpstr>
      <vt:lpstr>Base Energy</vt:lpstr>
      <vt:lpstr>Xmission Acceleration</vt:lpstr>
      <vt:lpstr>Transmission Utilization</vt:lpstr>
      <vt:lpstr>Distribution adder</vt:lpstr>
      <vt:lpstr>Departure Costs a</vt:lpstr>
      <vt:lpstr>Departure Costs b</vt:lpstr>
      <vt:lpstr>Embedded Transmission Rates</vt:lpstr>
      <vt:lpstr>Comparison With Old Rates</vt:lpstr>
      <vt:lpstr>Original RS17 Yearly Components</vt:lpstr>
      <vt:lpstr>COS Plus</vt:lpstr>
      <vt:lpstr>3 Year Graduated - Small</vt:lpstr>
      <vt:lpstr>3 Year Graduated - Large</vt:lpstr>
      <vt:lpstr>_d1</vt:lpstr>
      <vt:lpstr>_d2</vt:lpstr>
      <vt:lpstr>Departure_Loss_Per_MWh_Sold_17a</vt:lpstr>
      <vt:lpstr>Departure_Loss_Per_MWh_Sold_17b</vt:lpstr>
      <vt:lpstr>Discount_Rate</vt:lpstr>
      <vt:lpstr>Distribution_Adder_per_MWh</vt:lpstr>
      <vt:lpstr>EI_Customers_Annual_aMW</vt:lpstr>
      <vt:lpstr>EI_Transmissoin_Cost_Dollar_MWh</vt:lpstr>
      <vt:lpstr>Expected_12_Month_Loss_17a</vt:lpstr>
      <vt:lpstr>Expected_12_Month_Loss_17b</vt:lpstr>
      <vt:lpstr>Expected_12_Month_MWh_Loss_17a</vt:lpstr>
      <vt:lpstr>Expected_12_Month_MWh_Loss_17b</vt:lpstr>
      <vt:lpstr>F</vt:lpstr>
      <vt:lpstr>Forecast_Retail_MWh_17a</vt:lpstr>
      <vt:lpstr>Forecast_Retail_MWh_17b</vt:lpstr>
      <vt:lpstr>Initial_Escalator</vt:lpstr>
      <vt:lpstr>Market_Price____MWh</vt:lpstr>
      <vt:lpstr>model_call</vt:lpstr>
      <vt:lpstr>NPV_Base_Date</vt:lpstr>
      <vt:lpstr>Proforma_17a_Customer_Demand</vt:lpstr>
      <vt:lpstr>Proforma_17b_Customer_Demand</vt:lpstr>
      <vt:lpstr>Risk_Free_Rate</vt:lpstr>
      <vt:lpstr>riskfree</vt:lpstr>
      <vt:lpstr>RS17a_Average</vt:lpstr>
      <vt:lpstr>'Departure Costs a'!RS17a_Average_Depart</vt:lpstr>
      <vt:lpstr>RS17a_Base_Energy_Charge</vt:lpstr>
      <vt:lpstr>RS17b_Average</vt:lpstr>
      <vt:lpstr>RS17b_Average_Depart</vt:lpstr>
      <vt:lpstr>RS17b_Base_Energy_Charge</vt:lpstr>
      <vt:lpstr>Sigma</vt:lpstr>
      <vt:lpstr>Strike_Price____MWh</vt:lpstr>
      <vt:lpstr>T</vt:lpstr>
      <vt:lpstr>Time_to_Strike__years</vt:lpstr>
      <vt:lpstr>Total_Expected_Transmission_Cost</vt:lpstr>
      <vt:lpstr>Transmission_Call_Value_MWh</vt:lpstr>
      <vt:lpstr>Transmission_Market_Dollar_MWh</vt:lpstr>
      <vt:lpstr>X</vt:lpstr>
      <vt:lpstr>Year_of_Incremental_Transmission_Needed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2020-02-25T16:56:45Z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0x010100F5E8A4DDA68A38449C74383BD20B03A9</vt:lpwstr>
  </property>
  <property fmtid="{D5CDD505-2E9C-101B-9397-08002B2CF9AE}" pid="3" name="_dlc_DocIdItemGuid">
    <vt:lpwstr>45ce2609-660e-473a-9612-82d005f4503d</vt:lpwstr>
  </property>
</Properties>
</file>